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260" yWindow="840" windowWidth="15615" windowHeight="8070" activeTab="4"/>
  </bookViews>
  <sheets>
    <sheet name="Intro" sheetId="11" r:id="rId1"/>
    <sheet name="VRAGENLIJST" sheetId="1" r:id="rId2"/>
    <sheet name="Investering &amp; Financiering" sheetId="4" r:id="rId3"/>
    <sheet name="Afschrijvingen" sheetId="8" r:id="rId4"/>
    <sheet name="Liquiditeit" sheetId="5" r:id="rId5"/>
    <sheet name="Exploitatie" sheetId="3" r:id="rId6"/>
    <sheet name="Gezinsbudget" sheetId="12" r:id="rId7"/>
    <sheet name="Maandlasten IPK" sheetId="6" r:id="rId8"/>
    <sheet name="Overzicht lijsten" sheetId="2" state="hidden" r:id="rId9"/>
    <sheet name="IB" sheetId="7" state="hidden" r:id="rId10"/>
  </sheets>
  <externalReferences>
    <externalReference r:id="rId11"/>
    <externalReference r:id="rId12"/>
  </externalReferences>
  <definedNames>
    <definedName name="_xlnm.Print_Area" localSheetId="5">Exploitatie!$A$1:$H$27</definedName>
    <definedName name="_xlnm.Print_Area" localSheetId="0">Intro!$A$1:$C$61</definedName>
    <definedName name="_xlnm.Print_Area" localSheetId="2">'Investering &amp; Financiering'!$A$1:$I$30</definedName>
    <definedName name="_xlnm.Print_Area" localSheetId="4">Liquiditeit!$A$1:$Q$36</definedName>
    <definedName name="_xlnm.Print_Area" localSheetId="7">'Maandlasten IPK'!$A$1:$P$45</definedName>
    <definedName name="_xlnm.Print_Area" localSheetId="1">VRAGENLIJST!$A$1:$G$222</definedName>
    <definedName name="_xlnm.Print_Titles" localSheetId="1">VRAGENLIJST!$1:$2</definedName>
    <definedName name="Afschrijvingen" localSheetId="6">'[1]Overzicht lijsten'!$H$18:$H$25</definedName>
    <definedName name="Afschrijvingen">'Overzicht lijsten'!$H$18:$H$25</definedName>
    <definedName name="Betalen" localSheetId="3">'[2]Overzicht lijsten'!$H$3:$H$7</definedName>
    <definedName name="Betalen" localSheetId="6">'[1]Overzicht lijsten'!$H$3:$H$7</definedName>
    <definedName name="Betalen">'Overzicht lijsten'!$H$3:$H$7</definedName>
    <definedName name="BTW" localSheetId="3">'[2]Overzicht lijsten'!$G$2:$G$5</definedName>
    <definedName name="BTW" localSheetId="6">'[1]Overzicht lijsten'!$G$2:$G$5</definedName>
    <definedName name="BTW">'Overzicht lijsten'!$G$2:$G$5</definedName>
    <definedName name="Graceperiod" localSheetId="3">'[2]Overzicht lijsten'!$E$2:$E$14</definedName>
    <definedName name="Graceperiod" localSheetId="6">'[1]Overzicht lijsten'!$E$2:$E$14</definedName>
    <definedName name="Graceperiod">'Overzicht lijsten'!$E$2:$E$14</definedName>
    <definedName name="Inbreng" localSheetId="3">'[2]Overzicht lijsten'!$D$2:$D$3</definedName>
    <definedName name="Inbreng" localSheetId="6">'[1]Overzicht lijsten'!$D$2:$D$3</definedName>
    <definedName name="Inbreng">'Overzicht lijsten'!$D$2:$D$3</definedName>
    <definedName name="Ja_Nee">'Overzicht lijsten'!$A$2:$A$3</definedName>
    <definedName name="Looptijd" localSheetId="3">'[2]Overzicht lijsten'!$J$2:$J$6</definedName>
    <definedName name="Looptijd" localSheetId="6">'[1]Overzicht lijsten'!$J$2:$J$6</definedName>
    <definedName name="Looptijd">'Overzicht lijsten'!$J$2:$J$6</definedName>
    <definedName name="Maanden6" localSheetId="3">'[2]Overzicht lijsten'!$K$2:$K$7</definedName>
    <definedName name="Maanden6" localSheetId="6">'[1]Overzicht lijsten'!$K$2:$K$7</definedName>
    <definedName name="Maanden6">'Overzicht lijsten'!$K$2:$K$7</definedName>
    <definedName name="Uitkering">'Overzicht lijsten'!$B$2:$B$9</definedName>
  </definedNames>
  <calcPr calcId="145621"/>
</workbook>
</file>

<file path=xl/calcChain.xml><?xml version="1.0" encoding="utf-8"?>
<calcChain xmlns="http://schemas.openxmlformats.org/spreadsheetml/2006/main">
  <c r="C17" i="5" l="1"/>
  <c r="C5" i="6" l="1"/>
  <c r="F57" i="1"/>
  <c r="F27" i="1"/>
  <c r="C14" i="12" l="1"/>
  <c r="C15" i="12" s="1"/>
  <c r="C13" i="12"/>
  <c r="C12" i="12"/>
  <c r="D7" i="12"/>
  <c r="C7" i="12"/>
  <c r="D6" i="12"/>
  <c r="C6" i="12"/>
  <c r="D5" i="12"/>
  <c r="C5" i="12"/>
  <c r="D4" i="12"/>
  <c r="D8" i="12" s="1"/>
  <c r="C4" i="12"/>
  <c r="C8" i="12" s="1"/>
  <c r="C22" i="5" l="1"/>
  <c r="C16" i="5"/>
  <c r="D6" i="8" l="1"/>
  <c r="D7" i="8"/>
  <c r="D8" i="8"/>
  <c r="D9" i="8"/>
  <c r="D10" i="8"/>
  <c r="C6" i="8"/>
  <c r="C7" i="8"/>
  <c r="C8" i="8"/>
  <c r="C9" i="8"/>
  <c r="C10" i="8"/>
  <c r="D5" i="8"/>
  <c r="F7" i="8" l="1"/>
  <c r="D13" i="4"/>
  <c r="C13" i="4"/>
  <c r="D9" i="4"/>
  <c r="C9" i="4"/>
  <c r="E6" i="4"/>
  <c r="D6" i="4"/>
  <c r="D5" i="4"/>
  <c r="C6" i="4"/>
  <c r="C5" i="4"/>
  <c r="D14" i="4" l="1"/>
  <c r="H22" i="4" l="1"/>
  <c r="F248" i="1" l="1"/>
  <c r="F246" i="1"/>
  <c r="F244" i="1"/>
  <c r="F242" i="1"/>
  <c r="F240" i="1"/>
  <c r="F238" i="1"/>
  <c r="F236" i="1"/>
  <c r="F234" i="1"/>
  <c r="F232" i="1"/>
  <c r="F230" i="1"/>
  <c r="F228" i="1"/>
  <c r="F226" i="1"/>
  <c r="C4" i="3"/>
  <c r="E30" i="5"/>
  <c r="F30" i="5"/>
  <c r="G30" i="5"/>
  <c r="H30" i="5"/>
  <c r="I30" i="5"/>
  <c r="J30" i="5"/>
  <c r="K30" i="5"/>
  <c r="L30" i="5"/>
  <c r="M30" i="5"/>
  <c r="N30" i="5"/>
  <c r="O30" i="5"/>
  <c r="D30" i="5"/>
  <c r="F55" i="1"/>
  <c r="F59" i="1"/>
  <c r="A21" i="7" l="1"/>
  <c r="A20" i="7"/>
  <c r="A19" i="7"/>
  <c r="A18" i="7"/>
  <c r="E23" i="2" l="1"/>
  <c r="B6" i="7"/>
  <c r="A17" i="7" s="1"/>
  <c r="G14" i="7"/>
  <c r="D17" i="7" l="1"/>
  <c r="B17" i="7"/>
  <c r="C12" i="6"/>
  <c r="C11" i="6" s="1"/>
  <c r="C8" i="6"/>
  <c r="C3" i="6" l="1"/>
  <c r="C4" i="6" s="1"/>
  <c r="G122" i="1"/>
  <c r="G114" i="1"/>
  <c r="B21" i="2"/>
  <c r="B20" i="2"/>
  <c r="B19" i="2"/>
  <c r="E26" i="5"/>
  <c r="F26" i="5"/>
  <c r="G26" i="5"/>
  <c r="H26" i="5"/>
  <c r="I26" i="5"/>
  <c r="J26" i="5"/>
  <c r="K26" i="5"/>
  <c r="L26" i="5"/>
  <c r="M26" i="5"/>
  <c r="N26" i="5"/>
  <c r="O26" i="5"/>
  <c r="D26" i="5"/>
  <c r="E20" i="5"/>
  <c r="F20" i="5"/>
  <c r="G20" i="5"/>
  <c r="H20" i="5"/>
  <c r="I20" i="5"/>
  <c r="J20" i="5"/>
  <c r="K20" i="5"/>
  <c r="L20" i="5"/>
  <c r="M20" i="5"/>
  <c r="N20" i="5"/>
  <c r="O20" i="5"/>
  <c r="D20" i="5"/>
  <c r="F142" i="1"/>
  <c r="G23" i="5" s="1"/>
  <c r="E22" i="5"/>
  <c r="F22" i="5"/>
  <c r="G22" i="5"/>
  <c r="H22" i="5"/>
  <c r="I22" i="5"/>
  <c r="J22" i="5"/>
  <c r="K22" i="5"/>
  <c r="L22" i="5"/>
  <c r="M22" i="5"/>
  <c r="N22" i="5"/>
  <c r="O22" i="5"/>
  <c r="D22" i="5"/>
  <c r="E21" i="5"/>
  <c r="F21" i="5"/>
  <c r="G21" i="5"/>
  <c r="H21" i="5"/>
  <c r="I21" i="5"/>
  <c r="J21" i="5"/>
  <c r="K21" i="5"/>
  <c r="L21" i="5"/>
  <c r="M21" i="5"/>
  <c r="N21" i="5"/>
  <c r="O21" i="5"/>
  <c r="D21" i="5"/>
  <c r="B18" i="2"/>
  <c r="B17" i="2"/>
  <c r="E18" i="5" s="1"/>
  <c r="H19" i="5" l="1"/>
  <c r="L19" i="5"/>
  <c r="D19" i="5"/>
  <c r="E19" i="5"/>
  <c r="I19" i="5"/>
  <c r="M19" i="5"/>
  <c r="J19" i="5"/>
  <c r="N19" i="5"/>
  <c r="G19" i="5"/>
  <c r="K19" i="5"/>
  <c r="O19" i="5"/>
  <c r="F19" i="5"/>
  <c r="D23" i="5"/>
  <c r="H23" i="5"/>
  <c r="N23" i="5"/>
  <c r="F23" i="5"/>
  <c r="L23" i="5"/>
  <c r="J23" i="5"/>
  <c r="M23" i="5"/>
  <c r="I23" i="5"/>
  <c r="E23" i="5"/>
  <c r="G27" i="5"/>
  <c r="O23" i="5"/>
  <c r="K23" i="5"/>
  <c r="O18" i="5"/>
  <c r="M27" i="5"/>
  <c r="E27" i="5"/>
  <c r="K18" i="5"/>
  <c r="J27" i="5"/>
  <c r="I27" i="5"/>
  <c r="P20" i="5"/>
  <c r="N27" i="5"/>
  <c r="F27" i="5"/>
  <c r="L27" i="5"/>
  <c r="H27" i="5"/>
  <c r="O27" i="5"/>
  <c r="K27" i="5"/>
  <c r="C5" i="3"/>
  <c r="C6" i="3" s="1"/>
  <c r="C7" i="3" s="1"/>
  <c r="G18" i="5"/>
  <c r="N18" i="5"/>
  <c r="J18" i="5"/>
  <c r="F18" i="5"/>
  <c r="D18" i="5"/>
  <c r="L18" i="5"/>
  <c r="H18" i="5"/>
  <c r="M18" i="5"/>
  <c r="I18" i="5"/>
  <c r="D27" i="5"/>
  <c r="P26" i="5"/>
  <c r="P21" i="5"/>
  <c r="C11" i="3" s="1"/>
  <c r="I2" i="2"/>
  <c r="I1" i="2"/>
  <c r="H11" i="5" l="1"/>
  <c r="H12" i="5" s="1"/>
  <c r="M11" i="5"/>
  <c r="M12" i="5" s="1"/>
  <c r="G11" i="5"/>
  <c r="G12" i="5" s="1"/>
  <c r="L11" i="5"/>
  <c r="L12" i="5" s="1"/>
  <c r="F11" i="5"/>
  <c r="F12" i="5" s="1"/>
  <c r="K11" i="5"/>
  <c r="K12" i="5" s="1"/>
  <c r="E11" i="5"/>
  <c r="E12" i="5" s="1"/>
  <c r="J11" i="5"/>
  <c r="J12" i="5" s="1"/>
  <c r="O11" i="5"/>
  <c r="O12" i="5" s="1"/>
  <c r="D11" i="5"/>
  <c r="D12" i="5" s="1"/>
  <c r="I11" i="5"/>
  <c r="I12" i="5" s="1"/>
  <c r="N11" i="5"/>
  <c r="N12" i="5" s="1"/>
  <c r="P23" i="5"/>
  <c r="C13" i="3" s="1"/>
  <c r="P27" i="5"/>
  <c r="P18" i="5"/>
  <c r="C9" i="3" s="1"/>
  <c r="P19" i="5"/>
  <c r="C10" i="3" s="1"/>
  <c r="C18" i="3" l="1"/>
  <c r="O13" i="5"/>
  <c r="N13" i="5"/>
  <c r="M13" i="5"/>
  <c r="L13" i="5"/>
  <c r="K13" i="5"/>
  <c r="I13" i="5"/>
  <c r="H13" i="5"/>
  <c r="G13" i="5"/>
  <c r="F192" i="1"/>
  <c r="F188" i="1"/>
  <c r="O17" i="5" s="1"/>
  <c r="F186" i="1"/>
  <c r="N17" i="5" s="1"/>
  <c r="F184" i="1"/>
  <c r="M17" i="5" s="1"/>
  <c r="F182" i="1"/>
  <c r="L17" i="5" s="1"/>
  <c r="F180" i="1"/>
  <c r="K17" i="5" s="1"/>
  <c r="F178" i="1"/>
  <c r="J17" i="5" s="1"/>
  <c r="F176" i="1"/>
  <c r="I17" i="5" s="1"/>
  <c r="F174" i="1"/>
  <c r="H17" i="5" s="1"/>
  <c r="F172" i="1"/>
  <c r="G17" i="5" s="1"/>
  <c r="F170" i="1"/>
  <c r="F17" i="5" s="1"/>
  <c r="F168" i="1"/>
  <c r="E17" i="5" s="1"/>
  <c r="F166" i="1"/>
  <c r="C10" i="5"/>
  <c r="P10" i="5" s="1"/>
  <c r="C9" i="5"/>
  <c r="H26" i="4"/>
  <c r="H25" i="4"/>
  <c r="H11" i="4"/>
  <c r="H6" i="4"/>
  <c r="H5" i="4"/>
  <c r="E14" i="4"/>
  <c r="D17" i="4"/>
  <c r="E17" i="4" s="1"/>
  <c r="D12" i="4"/>
  <c r="C12" i="4"/>
  <c r="E9" i="4"/>
  <c r="D8" i="4"/>
  <c r="D7" i="4"/>
  <c r="D4" i="4"/>
  <c r="C8" i="4"/>
  <c r="C7" i="4"/>
  <c r="C4" i="4"/>
  <c r="D17" i="5" l="1"/>
  <c r="D24" i="5" s="1"/>
  <c r="G24" i="5"/>
  <c r="K24" i="5"/>
  <c r="O24" i="5"/>
  <c r="F24" i="5"/>
  <c r="J24" i="5"/>
  <c r="N24" i="5"/>
  <c r="H24" i="5"/>
  <c r="L24" i="5"/>
  <c r="E24" i="5"/>
  <c r="I24" i="5"/>
  <c r="M24" i="5"/>
  <c r="F10" i="8"/>
  <c r="E7" i="4"/>
  <c r="E13" i="4"/>
  <c r="P22" i="5"/>
  <c r="C12" i="3" s="1"/>
  <c r="E8" i="4"/>
  <c r="E5" i="4"/>
  <c r="J13" i="5"/>
  <c r="D13" i="5"/>
  <c r="P12" i="5"/>
  <c r="C22" i="4"/>
  <c r="P11" i="5"/>
  <c r="P9" i="5"/>
  <c r="E12" i="4"/>
  <c r="C19" i="4"/>
  <c r="H4" i="4" s="1"/>
  <c r="H7" i="4" s="1"/>
  <c r="E13" i="5"/>
  <c r="E4" i="4"/>
  <c r="C5" i="8" s="1"/>
  <c r="M25" i="5" l="1"/>
  <c r="J25" i="5"/>
  <c r="P17" i="5"/>
  <c r="D11" i="8"/>
  <c r="F5" i="8"/>
  <c r="F9" i="8"/>
  <c r="F8" i="8"/>
  <c r="F6" i="8"/>
  <c r="C24" i="5"/>
  <c r="P16" i="5"/>
  <c r="F13" i="5"/>
  <c r="F25" i="1"/>
  <c r="P24" i="5" l="1"/>
  <c r="G25" i="5"/>
  <c r="P25" i="5" s="1"/>
  <c r="F11" i="8"/>
  <c r="C14" i="3" s="1"/>
  <c r="G5" i="3" s="1"/>
  <c r="C11" i="8"/>
  <c r="F60" i="1"/>
  <c r="C31" i="5"/>
  <c r="C15" i="3" l="1"/>
  <c r="P30" i="5"/>
  <c r="C24" i="3" s="1"/>
  <c r="E19" i="4" l="1"/>
  <c r="D19" i="4"/>
  <c r="H12" i="4" s="1"/>
  <c r="H13" i="4" l="1"/>
  <c r="H18" i="4" s="1"/>
  <c r="C6" i="6"/>
  <c r="C9" i="6" l="1"/>
  <c r="G42" i="6"/>
  <c r="K42" i="6"/>
  <c r="C42" i="6"/>
  <c r="G34" i="6"/>
  <c r="K34" i="6"/>
  <c r="C34" i="6"/>
  <c r="G26" i="6"/>
  <c r="K26" i="6"/>
  <c r="C26" i="6"/>
  <c r="G18" i="6"/>
  <c r="K18" i="6"/>
  <c r="C18" i="6"/>
  <c r="C20" i="6" s="1"/>
  <c r="C19" i="6" s="1"/>
  <c r="D29" i="5" s="1"/>
  <c r="D42" i="6"/>
  <c r="H42" i="6"/>
  <c r="L42" i="6"/>
  <c r="D34" i="6"/>
  <c r="H34" i="6"/>
  <c r="L34" i="6"/>
  <c r="D26" i="6"/>
  <c r="H26" i="6"/>
  <c r="L26" i="6"/>
  <c r="D18" i="6"/>
  <c r="D20" i="6" s="1"/>
  <c r="D19" i="6" s="1"/>
  <c r="E29" i="5" s="1"/>
  <c r="H18" i="6"/>
  <c r="L18" i="6"/>
  <c r="E42" i="6"/>
  <c r="I42" i="6"/>
  <c r="M42" i="6"/>
  <c r="E34" i="6"/>
  <c r="I34" i="6"/>
  <c r="M34" i="6"/>
  <c r="E26" i="6"/>
  <c r="I26" i="6"/>
  <c r="M26" i="6"/>
  <c r="E18" i="6"/>
  <c r="E20" i="6" s="1"/>
  <c r="E19" i="6" s="1"/>
  <c r="I18" i="6"/>
  <c r="M18" i="6"/>
  <c r="F42" i="6"/>
  <c r="J42" i="6"/>
  <c r="N42" i="6"/>
  <c r="F34" i="6"/>
  <c r="J34" i="6"/>
  <c r="N34" i="6"/>
  <c r="F26" i="6"/>
  <c r="J26" i="6"/>
  <c r="N26" i="6"/>
  <c r="F18" i="6"/>
  <c r="J18" i="6"/>
  <c r="N18" i="6"/>
  <c r="J7" i="6"/>
  <c r="C16" i="6"/>
  <c r="D16" i="6" l="1"/>
  <c r="E16" i="6" s="1"/>
  <c r="F16" i="6" s="1"/>
  <c r="E44" i="6"/>
  <c r="E43" i="6" s="1"/>
  <c r="M20" i="6"/>
  <c r="M19" i="6" s="1"/>
  <c r="E28" i="6"/>
  <c r="E27" i="6" s="1"/>
  <c r="L44" i="6"/>
  <c r="L43" i="6" s="1"/>
  <c r="H20" i="6"/>
  <c r="H19" i="6" s="1"/>
  <c r="M36" i="6"/>
  <c r="M35" i="6" s="1"/>
  <c r="K44" i="6"/>
  <c r="K43" i="6" s="1"/>
  <c r="C28" i="6"/>
  <c r="C27" i="6" s="1"/>
  <c r="H36" i="6"/>
  <c r="H35" i="6" s="1"/>
  <c r="F44" i="6"/>
  <c r="F43" i="6" s="1"/>
  <c r="N28" i="6"/>
  <c r="N27" i="6" s="1"/>
  <c r="K36" i="6"/>
  <c r="K35" i="6" s="1"/>
  <c r="I20" i="6"/>
  <c r="I19" i="6" s="1"/>
  <c r="N36" i="6"/>
  <c r="N35" i="6" s="1"/>
  <c r="H44" i="6"/>
  <c r="H43" i="6" s="1"/>
  <c r="L28" i="6"/>
  <c r="L27" i="6" s="1"/>
  <c r="I36" i="6"/>
  <c r="I35" i="6" s="1"/>
  <c r="G44" i="6"/>
  <c r="G43" i="6" s="1"/>
  <c r="K28" i="6"/>
  <c r="K27" i="6" s="1"/>
  <c r="N20" i="6"/>
  <c r="N19" i="6" s="1"/>
  <c r="M28" i="6"/>
  <c r="M27" i="6" s="1"/>
  <c r="J36" i="6"/>
  <c r="J35" i="6" s="1"/>
  <c r="D44" i="6"/>
  <c r="D43" i="6" s="1"/>
  <c r="H28" i="6"/>
  <c r="H27" i="6" s="1"/>
  <c r="E36" i="6"/>
  <c r="E35" i="6" s="1"/>
  <c r="K20" i="6"/>
  <c r="K19" i="6" s="1"/>
  <c r="G28" i="6"/>
  <c r="G27" i="6" s="1"/>
  <c r="N44" i="6"/>
  <c r="N43" i="6" s="1"/>
  <c r="J20" i="6"/>
  <c r="J19" i="6" s="1"/>
  <c r="F28" i="6"/>
  <c r="F27" i="6" s="1"/>
  <c r="M44" i="6"/>
  <c r="M43" i="6" s="1"/>
  <c r="I28" i="6"/>
  <c r="I27" i="6" s="1"/>
  <c r="F36" i="6"/>
  <c r="F35" i="6" s="1"/>
  <c r="L20" i="6"/>
  <c r="L19" i="6" s="1"/>
  <c r="D28" i="6"/>
  <c r="D27" i="6" s="1"/>
  <c r="C44" i="6"/>
  <c r="C43" i="6" s="1"/>
  <c r="G20" i="6"/>
  <c r="G19" i="6" s="1"/>
  <c r="L36" i="6"/>
  <c r="L35" i="6" s="1"/>
  <c r="J44" i="6"/>
  <c r="J43" i="6" s="1"/>
  <c r="F20" i="6"/>
  <c r="F19" i="6" s="1"/>
  <c r="G16" i="6" s="1"/>
  <c r="C36" i="6"/>
  <c r="C35" i="6" s="1"/>
  <c r="I44" i="6"/>
  <c r="I43" i="6" s="1"/>
  <c r="D36" i="6"/>
  <c r="D35" i="6" s="1"/>
  <c r="J28" i="6"/>
  <c r="J27" i="6" s="1"/>
  <c r="G36" i="6"/>
  <c r="G35" i="6" s="1"/>
  <c r="H28" i="4"/>
  <c r="C8" i="5"/>
  <c r="H16" i="6" l="1"/>
  <c r="I16" i="6" s="1"/>
  <c r="J16" i="6" s="1"/>
  <c r="K16" i="6" s="1"/>
  <c r="L16" i="6" s="1"/>
  <c r="M16" i="6" s="1"/>
  <c r="N16" i="6" s="1"/>
  <c r="C24" i="6" s="1"/>
  <c r="D24" i="6" s="1"/>
  <c r="E24" i="6" s="1"/>
  <c r="F24" i="6" s="1"/>
  <c r="G24" i="6" s="1"/>
  <c r="H24" i="6" s="1"/>
  <c r="I24" i="6" s="1"/>
  <c r="J24" i="6" s="1"/>
  <c r="K24" i="6" s="1"/>
  <c r="L24" i="6" s="1"/>
  <c r="M24" i="6" s="1"/>
  <c r="N24" i="6" s="1"/>
  <c r="C32" i="6" s="1"/>
  <c r="D32" i="6" s="1"/>
  <c r="E32" i="6" s="1"/>
  <c r="F32" i="6" s="1"/>
  <c r="G32" i="6" s="1"/>
  <c r="H32" i="6" s="1"/>
  <c r="I32" i="6" s="1"/>
  <c r="J32" i="6" s="1"/>
  <c r="K32" i="6" s="1"/>
  <c r="L32" i="6" s="1"/>
  <c r="M32" i="6" s="1"/>
  <c r="N32" i="6" s="1"/>
  <c r="C40" i="6" s="1"/>
  <c r="D40" i="6" s="1"/>
  <c r="E40" i="6" s="1"/>
  <c r="F40" i="6" s="1"/>
  <c r="G40" i="6" s="1"/>
  <c r="H40" i="6" s="1"/>
  <c r="I40" i="6" s="1"/>
  <c r="J40" i="6" s="1"/>
  <c r="K40" i="6" s="1"/>
  <c r="L40" i="6" s="1"/>
  <c r="M40" i="6" s="1"/>
  <c r="N40" i="6" s="1"/>
  <c r="P8" i="5"/>
  <c r="P13" i="5" s="1"/>
  <c r="C13" i="5"/>
  <c r="C33" i="5" s="1"/>
  <c r="C35" i="5" s="1"/>
  <c r="D5" i="5" s="1"/>
  <c r="D28" i="5"/>
  <c r="E28" i="5" l="1"/>
  <c r="E31" i="5" s="1"/>
  <c r="E33" i="5" s="1"/>
  <c r="D31" i="5"/>
  <c r="F28" i="5" l="1"/>
  <c r="G29" i="5"/>
  <c r="F29" i="5"/>
  <c r="D33" i="5"/>
  <c r="D35" i="5" s="1"/>
  <c r="E5" i="5" s="1"/>
  <c r="E35" i="5" s="1"/>
  <c r="F5" i="5" s="1"/>
  <c r="F31" i="5" l="1"/>
  <c r="G28" i="5"/>
  <c r="G31" i="5" s="1"/>
  <c r="G33" i="5" s="1"/>
  <c r="F33" i="5" l="1"/>
  <c r="F35" i="5" s="1"/>
  <c r="G5" i="5" s="1"/>
  <c r="G35" i="5" s="1"/>
  <c r="H5" i="5" s="1"/>
  <c r="H29" i="5" l="1"/>
  <c r="H28" i="5"/>
  <c r="I29" i="5" l="1"/>
  <c r="H31" i="5"/>
  <c r="I28" i="5" l="1"/>
  <c r="I31" i="5" s="1"/>
  <c r="I33" i="5" s="1"/>
  <c r="H33" i="5"/>
  <c r="H35" i="5" s="1"/>
  <c r="I5" i="5" s="1"/>
  <c r="I35" i="5" l="1"/>
  <c r="J5" i="5" s="1"/>
  <c r="J29" i="5"/>
  <c r="J28" i="5"/>
  <c r="J31" i="5" l="1"/>
  <c r="K29" i="5" l="1"/>
  <c r="J33" i="5"/>
  <c r="J35" i="5" s="1"/>
  <c r="K5" i="5" s="1"/>
  <c r="K28" i="5"/>
  <c r="K31" i="5" l="1"/>
  <c r="L29" i="5" l="1"/>
  <c r="K33" i="5"/>
  <c r="K35" i="5" s="1"/>
  <c r="L5" i="5" s="1"/>
  <c r="M29" i="5"/>
  <c r="L28" i="5"/>
  <c r="L31" i="5" l="1"/>
  <c r="L33" i="5" s="1"/>
  <c r="L35" i="5" s="1"/>
  <c r="M5" i="5" s="1"/>
  <c r="M28" i="5" l="1"/>
  <c r="M31" i="5" s="1"/>
  <c r="M33" i="5" s="1"/>
  <c r="M35" i="5" s="1"/>
  <c r="N5" i="5" s="1"/>
  <c r="N29" i="5"/>
  <c r="N28" i="5" l="1"/>
  <c r="N31" i="5" s="1"/>
  <c r="N33" i="5" s="1"/>
  <c r="N35" i="5" s="1"/>
  <c r="O5" i="5" s="1"/>
  <c r="O18" i="6" l="1"/>
  <c r="C17" i="3" s="1"/>
  <c r="C20" i="3" s="1"/>
  <c r="O29" i="5" l="1"/>
  <c r="P29" i="5" s="1"/>
  <c r="O19" i="6"/>
  <c r="G9" i="3" s="1"/>
  <c r="C22" i="3"/>
  <c r="B5" i="7" s="1"/>
  <c r="A22" i="7" s="1"/>
  <c r="G4" i="3"/>
  <c r="G6" i="3" s="1"/>
  <c r="O20" i="6"/>
  <c r="O28" i="5"/>
  <c r="O31" i="5" l="1"/>
  <c r="P28" i="5"/>
  <c r="B22" i="7"/>
  <c r="B18" i="7"/>
  <c r="D18" i="7" s="1"/>
  <c r="B19" i="7"/>
  <c r="B20" i="7"/>
  <c r="B21" i="7"/>
  <c r="D20" i="7" l="1"/>
  <c r="D21" i="7"/>
  <c r="D22" i="7"/>
  <c r="D19" i="7"/>
  <c r="O33" i="5"/>
  <c r="O35" i="5" s="1"/>
  <c r="P31" i="5"/>
  <c r="B7" i="7" l="1"/>
  <c r="C23" i="3" s="1"/>
  <c r="G8" i="3" s="1"/>
  <c r="G11" i="3" s="1"/>
  <c r="C26" i="3" l="1"/>
  <c r="O27" i="6"/>
  <c r="O28" i="6"/>
  <c r="O26" i="6"/>
  <c r="O36" i="6" l="1"/>
  <c r="O34" i="6"/>
  <c r="O35" i="6"/>
  <c r="O43" i="6" l="1"/>
  <c r="J5" i="6" s="1"/>
  <c r="O44" i="6" l="1"/>
  <c r="J4" i="6" s="1"/>
  <c r="J3" i="6" s="1"/>
  <c r="H29" i="4" s="1"/>
  <c r="O42" i="6"/>
  <c r="J6" i="6" s="1"/>
</calcChain>
</file>

<file path=xl/sharedStrings.xml><?xml version="1.0" encoding="utf-8"?>
<sst xmlns="http://schemas.openxmlformats.org/spreadsheetml/2006/main" count="571" uniqueCount="357">
  <si>
    <t>Vragenlijst financieel plan</t>
  </si>
  <si>
    <t>Privé-inkomsten (maandelijks)</t>
  </si>
  <si>
    <t>1.</t>
  </si>
  <si>
    <t>2.</t>
  </si>
  <si>
    <t>Hoelang loopt deze uitkering door na de start van jouw bedrijf?</t>
  </si>
  <si>
    <t xml:space="preserve">3. </t>
  </si>
  <si>
    <t>Hoeveel salaris (uit loondienst) krijg je maandelijks op je rekening gestort?</t>
  </si>
  <si>
    <t>Hoeveel kinderen heb je ten laste?</t>
  </si>
  <si>
    <t>6.</t>
  </si>
  <si>
    <t xml:space="preserve">vul bedrag in: </t>
  </si>
  <si>
    <t>Antwoord:</t>
  </si>
  <si>
    <t xml:space="preserve">vul aantal in: </t>
  </si>
  <si>
    <t xml:space="preserve">selecteer: </t>
  </si>
  <si>
    <t>7.</t>
  </si>
  <si>
    <t>8.</t>
  </si>
  <si>
    <t>Ja</t>
  </si>
  <si>
    <t>Nee</t>
  </si>
  <si>
    <t>Ja_Nee</t>
  </si>
  <si>
    <t>Uitkering</t>
  </si>
  <si>
    <t>loopt door</t>
  </si>
  <si>
    <t>tot maand 1</t>
  </si>
  <si>
    <t>tot maand 2</t>
  </si>
  <si>
    <t>tot maand 3</t>
  </si>
  <si>
    <t>tot maand 4</t>
  </si>
  <si>
    <t>tot maand 5</t>
  </si>
  <si>
    <t>tot maand 6</t>
  </si>
  <si>
    <r>
      <t xml:space="preserve">Totaal gezamenlijk maandinkomen op </t>
    </r>
    <r>
      <rPr>
        <u/>
        <sz val="11"/>
        <color theme="1"/>
        <rFont val="Calibri"/>
        <family val="2"/>
        <scheme val="minor"/>
      </rPr>
      <t>dit</t>
    </r>
    <r>
      <rPr>
        <sz val="11"/>
        <color theme="1"/>
        <rFont val="Calibri"/>
        <family val="2"/>
        <scheme val="minor"/>
      </rPr>
      <t xml:space="preserve"> moment:</t>
    </r>
  </si>
  <si>
    <r>
      <t xml:space="preserve">Totaal gezamenlijk maandinkomen </t>
    </r>
    <r>
      <rPr>
        <u/>
        <sz val="11"/>
        <color theme="1"/>
        <rFont val="Calibri"/>
        <family val="2"/>
        <scheme val="minor"/>
      </rPr>
      <t>bij opstart</t>
    </r>
    <r>
      <rPr>
        <sz val="11"/>
        <color theme="1"/>
        <rFont val="Calibri"/>
        <family val="2"/>
        <scheme val="minor"/>
      </rPr>
      <t xml:space="preserve"> van je bedrijf:</t>
    </r>
  </si>
  <si>
    <t xml:space="preserve">is berekend: </t>
  </si>
  <si>
    <t>Privé-uitgaven (maandelijks)</t>
  </si>
  <si>
    <t>Hoeveel geef je maandelijks privé uit aan?</t>
  </si>
  <si>
    <t xml:space="preserve"> - Huur woonhuis</t>
  </si>
  <si>
    <t xml:space="preserve"> - Aflossing hypotheek</t>
  </si>
  <si>
    <t xml:space="preserve"> - Gas, water en elektriciteit</t>
  </si>
  <si>
    <t xml:space="preserve"> - GSM, telefoon, internet en TV</t>
  </si>
  <si>
    <t xml:space="preserve"> - Verzekeringen (mutualiteit, hospitalisatie, brand, woning,…)</t>
  </si>
  <si>
    <t xml:space="preserve"> - Vervoer (brandstof, onderhoud, openbaar vervoer,…)</t>
  </si>
  <si>
    <t xml:space="preserve"> - Opleiding, studiekosten, kinderopvang</t>
  </si>
  <si>
    <t xml:space="preserve"> - Overige privé-uitgaven</t>
  </si>
  <si>
    <t>Dit bedrag kan je maandelijks nog sparen voordat je met je bedrijf gaat starten:</t>
  </si>
  <si>
    <t>Dit bedrag moet je maandelijks uit je onderneming halen als je bent gestart:</t>
  </si>
  <si>
    <t>Eigen middelen, bezittingen en schulden</t>
  </si>
  <si>
    <t>10.</t>
  </si>
  <si>
    <t>Heb je een eigen woning?</t>
  </si>
  <si>
    <t>11.</t>
  </si>
  <si>
    <t>Wat is de verkoopswaarde van je woning?</t>
  </si>
  <si>
    <t>12.</t>
  </si>
  <si>
    <t>Begindatum van de hypothecaire lening?</t>
  </si>
  <si>
    <t>13.</t>
  </si>
  <si>
    <t>Voor welk bedrag ben je een hypothecaire lening aangegaan?</t>
  </si>
  <si>
    <t>14.</t>
  </si>
  <si>
    <t>Heb je (naast je hypotheek) nog andere schulden? Hoe hoog zijn deze schulden?</t>
  </si>
  <si>
    <t>15.</t>
  </si>
  <si>
    <t>Heb je achterstallen bij bepaalde leningen?</t>
  </si>
  <si>
    <t>16.</t>
  </si>
  <si>
    <t>Hoeveel spaargeld heb je op dit moment?</t>
  </si>
  <si>
    <t>17.</t>
  </si>
  <si>
    <t>18.</t>
  </si>
  <si>
    <t xml:space="preserve">vul datum in: </t>
  </si>
  <si>
    <r>
      <t>Investeringen (</t>
    </r>
    <r>
      <rPr>
        <b/>
        <i/>
        <sz val="12"/>
        <color rgb="FFCC0099"/>
        <rFont val="Calibri"/>
        <family val="2"/>
        <scheme val="minor"/>
      </rPr>
      <t>op langere termijn</t>
    </r>
    <r>
      <rPr>
        <b/>
        <sz val="12"/>
        <color rgb="FFCC0099"/>
        <rFont val="Calibri"/>
        <family val="2"/>
        <scheme val="minor"/>
      </rPr>
      <t>)</t>
    </r>
  </si>
  <si>
    <t>19.</t>
  </si>
  <si>
    <t>Wat heb je nodig om te kunnen starten met je bedrijf?</t>
  </si>
  <si>
    <t xml:space="preserve"> - Verbouwing</t>
  </si>
  <si>
    <t xml:space="preserve"> - Computer en/of software</t>
  </si>
  <si>
    <t xml:space="preserve"> - Transportmiddel</t>
  </si>
  <si>
    <t xml:space="preserve"> - Startvoorraad</t>
  </si>
  <si>
    <t xml:space="preserve"> - Promotiekosten</t>
  </si>
  <si>
    <t xml:space="preserve"> - Huurwaarborg</t>
  </si>
  <si>
    <t xml:space="preserve"> - Goodwill (bij overname) </t>
  </si>
  <si>
    <t xml:space="preserve"> - Overbrugging, aanloopkosten en overig/onvoorzien</t>
  </si>
  <si>
    <t xml:space="preserve"> - Andere investeringen</t>
  </si>
  <si>
    <t>Specifieer:</t>
  </si>
  <si>
    <t>Inbreng</t>
  </si>
  <si>
    <t>Heb ik reeds</t>
  </si>
  <si>
    <t>Nog te investeren</t>
  </si>
  <si>
    <t>Financieringen</t>
  </si>
  <si>
    <t>20.</t>
  </si>
  <si>
    <t>Hoeveel (spaar)geld ga je zelf inbrengen?</t>
  </si>
  <si>
    <t>21.</t>
  </si>
  <si>
    <t>Hoeveel geld heb je geleend en/of ga je lenen bij familie/vrienden?</t>
  </si>
  <si>
    <t>22.</t>
  </si>
  <si>
    <t>maand 1</t>
  </si>
  <si>
    <t>maand 2</t>
  </si>
  <si>
    <t>maand 3</t>
  </si>
  <si>
    <t>maand 4</t>
  </si>
  <si>
    <t>maand 5</t>
  </si>
  <si>
    <t>maand 6</t>
  </si>
  <si>
    <t>maand 7</t>
  </si>
  <si>
    <t>maand 8</t>
  </si>
  <si>
    <t>maand 9</t>
  </si>
  <si>
    <t>maand 10</t>
  </si>
  <si>
    <t>maand 11</t>
  </si>
  <si>
    <t>maand 12</t>
  </si>
  <si>
    <t>vanaf maand 13</t>
  </si>
  <si>
    <t>Graceperiod</t>
  </si>
  <si>
    <t>Hoeveel geld komt via overige financieringsbronnen? (bv. Startlening, bank,…)</t>
  </si>
  <si>
    <t>Hoe hoog zijn de maandelijkse kosten?</t>
  </si>
  <si>
    <r>
      <t xml:space="preserve"> - Personeel </t>
    </r>
    <r>
      <rPr>
        <i/>
        <sz val="9"/>
        <color theme="1"/>
        <rFont val="Calibri"/>
        <family val="2"/>
        <scheme val="minor"/>
      </rPr>
      <t>(let op: bruto personeelslasten, dus inclusief premies, RSZ-bijdragen, belastingen,…)</t>
    </r>
  </si>
  <si>
    <r>
      <t xml:space="preserve"> - Huisvesting </t>
    </r>
    <r>
      <rPr>
        <i/>
        <sz val="9"/>
        <color theme="1"/>
        <rFont val="Calibri"/>
        <family val="2"/>
        <scheme val="minor"/>
      </rPr>
      <t>(huur, schoonmaak, onderhoud, onroerende voorheffing,…)</t>
    </r>
  </si>
  <si>
    <t xml:space="preserve"> - Water, gas, elektriciteit</t>
  </si>
  <si>
    <r>
      <t xml:space="preserve"> - Vervoer </t>
    </r>
    <r>
      <rPr>
        <i/>
        <sz val="9"/>
        <color theme="1"/>
        <rFont val="Calibri"/>
        <family val="2"/>
        <scheme val="minor"/>
      </rPr>
      <t>(brandstof, onderhoud, verzekeringen, parkeren,…)</t>
    </r>
  </si>
  <si>
    <r>
      <t xml:space="preserve"> - Promotie / reclame </t>
    </r>
    <r>
      <rPr>
        <i/>
        <sz val="9"/>
        <color theme="1"/>
        <rFont val="Calibri"/>
        <family val="2"/>
        <scheme val="minor"/>
      </rPr>
      <t>(onderhoud website, Google Adwords,…)</t>
    </r>
  </si>
  <si>
    <t xml:space="preserve"> - Overige bedrijfskosten:</t>
  </si>
  <si>
    <r>
      <t xml:space="preserve">     - Verzekeringen </t>
    </r>
    <r>
      <rPr>
        <i/>
        <sz val="9"/>
        <color theme="1"/>
        <rFont val="Calibri"/>
        <family val="2"/>
        <scheme val="minor"/>
      </rPr>
      <t>(aansprakelijkheid, arbeidsongeschiktheid, …)</t>
    </r>
  </si>
  <si>
    <r>
      <t xml:space="preserve">     - Boekhouding </t>
    </r>
    <r>
      <rPr>
        <i/>
        <sz val="9"/>
        <color theme="1"/>
        <rFont val="Calibri"/>
        <family val="2"/>
        <scheme val="minor"/>
      </rPr>
      <t>(boekhouder, boekhoudpakket, adviseur,…)</t>
    </r>
  </si>
  <si>
    <r>
      <t xml:space="preserve">     - Administratieve kosten </t>
    </r>
    <r>
      <rPr>
        <i/>
        <sz val="9"/>
        <color theme="1"/>
        <rFont val="Calibri"/>
        <family val="2"/>
        <scheme val="minor"/>
      </rPr>
      <t>(telefoon, internet, lidgeld (bv. Unizo),…)</t>
    </r>
  </si>
  <si>
    <r>
      <t xml:space="preserve">     - Kantoorartikelen </t>
    </r>
    <r>
      <rPr>
        <i/>
        <sz val="9"/>
        <color theme="1"/>
        <rFont val="Calibri"/>
        <family val="2"/>
        <scheme val="minor"/>
      </rPr>
      <t>(papier, printpatroon, postzegels,…)</t>
    </r>
  </si>
  <si>
    <t xml:space="preserve">     - Overig</t>
  </si>
  <si>
    <t xml:space="preserve">     - Sociale bijdragen</t>
  </si>
  <si>
    <t>Maandelijkse directe kosten</t>
  </si>
  <si>
    <t>24.</t>
  </si>
  <si>
    <t>Koop je (basis)producten aan die, eventueel na verwerking, weer verkoopt?</t>
  </si>
  <si>
    <t>25.</t>
  </si>
  <si>
    <t>26.</t>
  </si>
  <si>
    <t>27.</t>
  </si>
  <si>
    <t>BTW</t>
  </si>
  <si>
    <t>Inkomsten</t>
  </si>
  <si>
    <t>28.</t>
  </si>
  <si>
    <t>Welk BTW-tarief is van toepassing op de verkoopprijs?</t>
  </si>
  <si>
    <t>Betalen</t>
  </si>
  <si>
    <t>Direct</t>
  </si>
  <si>
    <t>Binnen 14 dagen</t>
  </si>
  <si>
    <t>Binnen 30 dagen</t>
  </si>
  <si>
    <t>Binnen 60 dagen</t>
  </si>
  <si>
    <t>Binnen 90 dagen</t>
  </si>
  <si>
    <t>29.</t>
  </si>
  <si>
    <t>Wanneer betalen je klanten in het algemeen?</t>
  </si>
  <si>
    <t>30.</t>
  </si>
  <si>
    <t>Hoeveel omzet verwacht je, gedurende het eerste jaar, per maand te realiseren?</t>
  </si>
  <si>
    <t xml:space="preserve"> - Maand 1</t>
  </si>
  <si>
    <t xml:space="preserve"> - Maand 2</t>
  </si>
  <si>
    <t xml:space="preserve"> - Maand 3</t>
  </si>
  <si>
    <t xml:space="preserve"> - Maand 4</t>
  </si>
  <si>
    <t xml:space="preserve"> - Maand 5</t>
  </si>
  <si>
    <t xml:space="preserve"> - Maand 6</t>
  </si>
  <si>
    <t xml:space="preserve"> - Maand 7</t>
  </si>
  <si>
    <t xml:space="preserve"> - Maand 8</t>
  </si>
  <si>
    <t xml:space="preserve"> - Maand 9</t>
  </si>
  <si>
    <t xml:space="preserve"> - Maand 10</t>
  </si>
  <si>
    <t xml:space="preserve"> - Maand 11</t>
  </si>
  <si>
    <t xml:space="preserve"> - Maand 12</t>
  </si>
  <si>
    <t>Investerings- &amp; Financieringsbegroting</t>
  </si>
  <si>
    <t>Vaste activa (excl. BTW)</t>
  </si>
  <si>
    <t>Inventaris en inrichting</t>
  </si>
  <si>
    <t>Computer en software</t>
  </si>
  <si>
    <t>Transportmiddel</t>
  </si>
  <si>
    <t>Vlottende activa (excl. BTW)</t>
  </si>
  <si>
    <t>Startvoorraad</t>
  </si>
  <si>
    <t>Kas (reserve)</t>
  </si>
  <si>
    <t>In bezit</t>
  </si>
  <si>
    <t>Investeren</t>
  </si>
  <si>
    <t>Totaal</t>
  </si>
  <si>
    <t>Goodwill / Huurwaarborg</t>
  </si>
  <si>
    <t>Andere investeringen (excl. BTW)</t>
  </si>
  <si>
    <t xml:space="preserve">Andere </t>
  </si>
  <si>
    <t>Totaal investeringsbedrag</t>
  </si>
  <si>
    <t xml:space="preserve">Dit is de berekende kredietbehoefte: </t>
  </si>
  <si>
    <t xml:space="preserve">Vul in in hoeveel jaar de de lening wilt terugbetalen: </t>
  </si>
  <si>
    <t>jaren</t>
  </si>
  <si>
    <t>maanden</t>
  </si>
  <si>
    <t>Looptijd</t>
  </si>
  <si>
    <t>Maanden6</t>
  </si>
  <si>
    <t>Eigen inbreng</t>
  </si>
  <si>
    <t>Activa in bezit</t>
  </si>
  <si>
    <t>Contante inbreng (bv. spaargeld)</t>
  </si>
  <si>
    <t>Achtergestelde leningen (familie / vrienden)</t>
  </si>
  <si>
    <t>Totaal eigen vermogen</t>
  </si>
  <si>
    <t>Financiering</t>
  </si>
  <si>
    <t>Totaal vreemd vermogen</t>
  </si>
  <si>
    <t>Lening Impulskrediet (indicatie)</t>
  </si>
  <si>
    <t>Voorwaarden</t>
  </si>
  <si>
    <t>Rentevoet</t>
  </si>
  <si>
    <t>Looptijd van de lening (in jaren)</t>
  </si>
  <si>
    <t>Eerste maand van aflossing in maand</t>
  </si>
  <si>
    <t>Maandlasten</t>
  </si>
  <si>
    <t>Aflossingsbedrag per maand</t>
  </si>
  <si>
    <t>Gemiddeld te betalen bedrag per maand</t>
  </si>
  <si>
    <t>Lening Impulskrediet</t>
  </si>
  <si>
    <t>Liquiditeitsbegroting</t>
  </si>
  <si>
    <t>Maand</t>
  </si>
  <si>
    <t>Ontvangsten</t>
  </si>
  <si>
    <t>Eigen inbreng in contant</t>
  </si>
  <si>
    <t>Overige lening(en)</t>
  </si>
  <si>
    <t>Omzet excl. BTW</t>
  </si>
  <si>
    <t>Totale ontvangsten</t>
  </si>
  <si>
    <t>Uitgaven</t>
  </si>
  <si>
    <t>Investeringen</t>
  </si>
  <si>
    <t>Aankopen</t>
  </si>
  <si>
    <t>Personeelskosten</t>
  </si>
  <si>
    <t>Huisvestingskosten</t>
  </si>
  <si>
    <t>Vervoer/transportkosten</t>
  </si>
  <si>
    <t>Promotiekosten</t>
  </si>
  <si>
    <t>Overige bedrijfskosten</t>
  </si>
  <si>
    <t>BTW aankopen/kosten</t>
  </si>
  <si>
    <t>BTW afrekening</t>
  </si>
  <si>
    <t>Persoonlijke bezoldiging</t>
  </si>
  <si>
    <t>Totale uitgaven</t>
  </si>
  <si>
    <t>Kas per maand</t>
  </si>
  <si>
    <t>Eindsaldo</t>
  </si>
  <si>
    <t>Aankoopprognose</t>
  </si>
  <si>
    <t>Hoeveel is de aankoopwaarde van je omzet per maand?</t>
  </si>
  <si>
    <t>Getal:</t>
  </si>
  <si>
    <t>Wat is de vraagprijs van jouw product, dienst of uurtarief?</t>
  </si>
  <si>
    <t>Ontvangen</t>
  </si>
  <si>
    <t>Aflossing  familie</t>
  </si>
  <si>
    <t>Aflossing  overig</t>
  </si>
  <si>
    <t>Privé-ontrekking</t>
  </si>
  <si>
    <t>Water, gas, elektriciteit</t>
  </si>
  <si>
    <t>stopt</t>
  </si>
  <si>
    <t>Exploitatiebegroting</t>
  </si>
  <si>
    <t>Bruto winst</t>
  </si>
  <si>
    <t>Brutowinstmarge</t>
  </si>
  <si>
    <t>Vervoer / transportkosten</t>
  </si>
  <si>
    <t>Afschrijvingen</t>
  </si>
  <si>
    <t>Totale bedrijfskosten</t>
  </si>
  <si>
    <t>Rente Impulskrediet</t>
  </si>
  <si>
    <t>Overige rentelasten</t>
  </si>
  <si>
    <t>Winst uit onderneming</t>
  </si>
  <si>
    <t>Belastbaar inkomen</t>
  </si>
  <si>
    <t>Mutatie Eigen Vermogen</t>
  </si>
  <si>
    <t>Cash-flow overzicht</t>
  </si>
  <si>
    <t>Beschikbare kasmiddelen</t>
  </si>
  <si>
    <t>Aflossingen</t>
  </si>
  <si>
    <t>Beschikbaar voor investeringen</t>
  </si>
  <si>
    <t>Maandlasten Impulskrediet</t>
  </si>
  <si>
    <t>Indicatie op basis van de door u ingevulde investerings- en financieringsbegroting</t>
  </si>
  <si>
    <t>Looptijd in jaren</t>
  </si>
  <si>
    <t>Looptijd in maanden</t>
  </si>
  <si>
    <t>Lening</t>
  </si>
  <si>
    <t>Afsluitkosten</t>
  </si>
  <si>
    <t>Rente % per jaar</t>
  </si>
  <si>
    <t>Aflossing per maand</t>
  </si>
  <si>
    <t>Maand 1ste aflossing</t>
  </si>
  <si>
    <t>Totaal betaald gedurende de looptijd</t>
  </si>
  <si>
    <t>Totaal aflossing</t>
  </si>
  <si>
    <t>Totaal rente</t>
  </si>
  <si>
    <t>Totaal afsluitkosten</t>
  </si>
  <si>
    <t>Jaar 1</t>
  </si>
  <si>
    <t>Bedrag lening begin maand</t>
  </si>
  <si>
    <t>Kosten rente per maand</t>
  </si>
  <si>
    <t>Te betalen per maand</t>
  </si>
  <si>
    <t>Jaar 2</t>
  </si>
  <si>
    <t>Jaar 3</t>
  </si>
  <si>
    <t>Jaar 4</t>
  </si>
  <si>
    <t>Rente % per maand</t>
  </si>
  <si>
    <t>Rekenblad Inkomstenbelasting</t>
  </si>
  <si>
    <t>Laatst bijgewerkt</t>
  </si>
  <si>
    <t>Inkomstenbelasting</t>
  </si>
  <si>
    <t>Exploitatie</t>
  </si>
  <si>
    <t>Aanslagvoeten Aanslagjaar 2014 (Inkomsten 2013)</t>
  </si>
  <si>
    <t xml:space="preserve">Aanslagvoet </t>
  </si>
  <si>
    <t>Schijf</t>
  </si>
  <si>
    <t>Kinderen ten laste</t>
  </si>
  <si>
    <t>Verhoging belastingsvrije inkomsten</t>
  </si>
  <si>
    <t># kinderen ten laste</t>
  </si>
  <si>
    <t>Belastingsvrije inkomsten</t>
  </si>
  <si>
    <t>4.</t>
  </si>
  <si>
    <t xml:space="preserve"> - Persoonlijke bezoldiging</t>
  </si>
  <si>
    <t>Totaal maandelijkse privé-uitgaven</t>
  </si>
  <si>
    <t xml:space="preserve"> - Inventaris / Inboedel (bij overname)</t>
  </si>
  <si>
    <t xml:space="preserve"> - Meubilair</t>
  </si>
  <si>
    <t>Maandelijkse indirecte kosten (excl. BTW)</t>
  </si>
  <si>
    <t>Bedrag inkomstenbelasting (privé-kost)</t>
  </si>
  <si>
    <t>Totale persoonlijke onttrekking</t>
  </si>
  <si>
    <t>Omzetprognose (excl. BTW)</t>
  </si>
  <si>
    <r>
      <t>Omzetprognose (</t>
    </r>
    <r>
      <rPr>
        <b/>
        <u/>
        <sz val="12"/>
        <color rgb="FFCC0099"/>
        <rFont val="Calibri"/>
        <family val="2"/>
        <scheme val="minor"/>
      </rPr>
      <t>incl.</t>
    </r>
    <r>
      <rPr>
        <b/>
        <sz val="12"/>
        <color rgb="FFCC0099"/>
        <rFont val="Calibri"/>
        <family val="2"/>
        <scheme val="minor"/>
      </rPr>
      <t xml:space="preserve"> BTW)</t>
    </r>
  </si>
  <si>
    <t xml:space="preserve">Netto omzet </t>
  </si>
  <si>
    <t>Exploitatiebegroting (excl. BTW)</t>
  </si>
  <si>
    <t>Uitstel van kapitaalafl.</t>
  </si>
  <si>
    <t>Frequentie van aflossing</t>
  </si>
  <si>
    <t>Afschrijvingstabel</t>
  </si>
  <si>
    <t xml:space="preserve">Vaste activa </t>
  </si>
  <si>
    <t>Bedrag BTW incl.</t>
  </si>
  <si>
    <t xml:space="preserve">Bedrag BTW excl. </t>
  </si>
  <si>
    <t>Afschrijvings-percentage</t>
  </si>
  <si>
    <t>Jaarlijkse afschrijving</t>
  </si>
  <si>
    <t>5.</t>
  </si>
  <si>
    <t>9.</t>
  </si>
  <si>
    <t>23.</t>
  </si>
  <si>
    <t>31.</t>
  </si>
  <si>
    <t>Heb je andere inkomsten die doorlopen na opstart van je bedrijf? (bv. reeds opgestart als zelfstandige, huuropbrengsten,…)</t>
  </si>
  <si>
    <t>Heb je een partner met een inkomen (uit loondienst of uitkering)?</t>
  </si>
  <si>
    <t xml:space="preserve"> - Vakantie en vrije tijd (bv. sport, cinema, hobby's,…)</t>
  </si>
  <si>
    <t xml:space="preserve"> - Huishoudelijke uitgaven (voeding, kleding, huisdieren, …)</t>
  </si>
  <si>
    <t xml:space="preserve"> - Aflossing andere kredieten (géén hypotheek) - aflossing per maand</t>
  </si>
  <si>
    <t>Heb je nog andere vermogens, zoals aandelen of vastgoed?</t>
  </si>
  <si>
    <t xml:space="preserve">Voor welk bedrag wil je een lening aanvragen: </t>
  </si>
  <si>
    <t>Blijf je loon ontvangen na opstart van je bedrijf?</t>
  </si>
  <si>
    <t>Aankoopkosten</t>
  </si>
  <si>
    <t>Hoe hoog zijn de toeslagen (kinderbijslag,…) per maand?</t>
  </si>
  <si>
    <t>Als je een (tijdelijke) uitkering ontvangt, hoe hoog is deze per maand?</t>
  </si>
  <si>
    <t xml:space="preserve"> - Machines / Werkmateriaal</t>
  </si>
  <si>
    <t>Verbouwing</t>
  </si>
  <si>
    <t>Materiaal</t>
  </si>
  <si>
    <t>Vanaf welke maand wil je beginnen met aflossen van kapitaal?</t>
  </si>
  <si>
    <t>Financiering overig (bv. Participatiefonds, bank,…)</t>
  </si>
  <si>
    <t>Financiering Impulskrediet</t>
  </si>
  <si>
    <t>Beginbedrag kas/bank</t>
  </si>
  <si>
    <t>Rente (excl. Impulskrediet)</t>
  </si>
  <si>
    <t>Aflossing (excl. Impulskrediet)</t>
  </si>
  <si>
    <t>Aflossing Impulskrediet</t>
  </si>
  <si>
    <t>Financieel plan</t>
  </si>
  <si>
    <t xml:space="preserve">N.B. Voordat je verder gaat moet het bestand eerst opgeslagen worden op je computer. Dit doe je via "Bestand" --&gt; "Opslaan als", of met sneltoets F12 </t>
  </si>
  <si>
    <t>Introductie</t>
  </si>
  <si>
    <t xml:space="preserve">Het maken van een financieel plan is een essentieel onderdeel van je ondernemingsplan, zeker als je een financiering wilt aanvragen. Een compleet financieel plan bestaat minimaal uit onderstaande begrotingen. </t>
  </si>
  <si>
    <t xml:space="preserve">   Investeringsbegroting</t>
  </si>
  <si>
    <t xml:space="preserve">   Financieringsbegroting</t>
  </si>
  <si>
    <t xml:space="preserve">   Liquiditeitsbegroting</t>
  </si>
  <si>
    <t xml:space="preserve">   Exploitatiebegroting</t>
  </si>
  <si>
    <t>Hoe in te vullen?</t>
  </si>
  <si>
    <r>
      <t xml:space="preserve">Het opstellen van dit financieel plan doe je door het beantwoorden van de vragen die opgelijst zijn in het tabblad </t>
    </r>
    <r>
      <rPr>
        <b/>
        <sz val="11"/>
        <color theme="8" tint="-0.249977111117893"/>
        <rFont val="Calibri"/>
        <family val="2"/>
        <scheme val="minor"/>
      </rPr>
      <t>VRAGENLIJST</t>
    </r>
  </si>
  <si>
    <t>Bij de meeste vragen moet je een bedrag invullen, bij andere vragen moet een getal of een onderdeel geselecteerd worden uit een lijst.</t>
  </si>
  <si>
    <t xml:space="preserve">Door het beantwoorden van deze vragenlijst, wordt het meerendeel van de financiële overzichten automatisch ingevuld en berekend. </t>
  </si>
  <si>
    <t>Deze overzichten zijn terug te vinden in de volgende tabbladen, na de vragenlijst.</t>
  </si>
  <si>
    <r>
      <t>In de tabbladen "</t>
    </r>
    <r>
      <rPr>
        <b/>
        <sz val="11"/>
        <color theme="8" tint="-0.249977111117893"/>
        <rFont val="Calibri"/>
        <family val="2"/>
        <scheme val="minor"/>
      </rPr>
      <t>Investering &amp; Financiering</t>
    </r>
    <r>
      <rPr>
        <sz val="11"/>
        <color theme="1"/>
        <rFont val="Calibri"/>
        <family val="2"/>
        <scheme val="minor"/>
      </rPr>
      <t>" en "</t>
    </r>
    <r>
      <rPr>
        <b/>
        <sz val="11"/>
        <color theme="8" tint="-0.249977111117893"/>
        <rFont val="Calibri"/>
        <family val="2"/>
        <scheme val="minor"/>
      </rPr>
      <t>Afschrijvingen</t>
    </r>
    <r>
      <rPr>
        <sz val="11"/>
        <color theme="1"/>
        <rFont val="Calibri"/>
        <family val="2"/>
        <scheme val="minor"/>
      </rPr>
      <t xml:space="preserve">" moeten enkel de blauwe cellen ingevuld worden. </t>
    </r>
  </si>
  <si>
    <t xml:space="preserve">De overige cellen en tabbladen zijn niet in te vullen of te wijzigen. Als je toch een wijziging wilt aanbrengen doe je dit door het antwoord op </t>
  </si>
  <si>
    <t>de vraag in de vragenlijst te wijzigen!</t>
  </si>
  <si>
    <t>Voorbeeld bedrag invullen:</t>
  </si>
  <si>
    <t>Voorbeeld selecteren:</t>
  </si>
  <si>
    <r>
      <t xml:space="preserve">N.B. </t>
    </r>
    <r>
      <rPr>
        <sz val="10"/>
        <color theme="1"/>
        <rFont val="Calibri"/>
        <family val="2"/>
        <scheme val="minor"/>
      </rPr>
      <t>Mocht je een selectie ongedaan willen maken, gebruik dan de knop "Delete". Het is dan mogelijk om een nieuwe selectie in te voegen. Als je een antwoord wijzigt door middel van een selectie in de "antwoordcel", kan het zijn dat een vervolgvraag die je al had beantwoord, niet meer van toepassing is en komt te vervallen. Het bedrag dat je had ingevuld, moet dan ook verwijderd worden, anders wordt dit ten onrechte meegenomen in de verdere overzichten en tabbladen.</t>
    </r>
  </si>
  <si>
    <t>Uitprinten</t>
  </si>
  <si>
    <t>Je kan het volledige financiële plan in één keer uitprinten door in het scherm 'Afdrukken' het vakje 'hele werkmap' te selecteren.</t>
  </si>
  <si>
    <r>
      <rPr>
        <b/>
        <i/>
        <sz val="9"/>
        <rFont val="Calibri"/>
        <family val="2"/>
        <scheme val="minor"/>
      </rPr>
      <t>Disclaimer</t>
    </r>
    <r>
      <rPr>
        <i/>
        <sz val="9"/>
        <rFont val="Calibri"/>
        <family val="2"/>
        <scheme val="minor"/>
      </rPr>
      <t xml:space="preserve">: Impulskrediet zorgt er voor om de inhoud van dit sjabloon regelmatig bij te werken of toevoegingen hieraan te maken. Desalniettemin is Impulskrediet niet aansprakelijk voor onjuistheden of onvolledigheden in de aangeboden inhoud. Impulskrediet is op geen enkele wijze aansprakelijkheid voor schade voortvloeiend uit het gebruik van dit sjabloon. Het is de gebruiker slechts toegestaan om dit sjabloon voor eigen gebruik op te slaan, af te drukken en te kopiëren.  </t>
    </r>
  </si>
  <si>
    <t>Versie 3.0</t>
  </si>
  <si>
    <t>Overzicht gezinsbudget</t>
  </si>
  <si>
    <t>Privé-inkomsten</t>
  </si>
  <si>
    <t>Huidige situatie</t>
  </si>
  <si>
    <t>Toekomstige situatie</t>
  </si>
  <si>
    <t>Eigen inkomen</t>
  </si>
  <si>
    <t>Inkomen partner</t>
  </si>
  <si>
    <t>Toeslagen (bv. kindergeld)</t>
  </si>
  <si>
    <t>Andere inkomsten</t>
  </si>
  <si>
    <t>Totaal privé-inkomsten</t>
  </si>
  <si>
    <t>Privé-uitgaven</t>
  </si>
  <si>
    <t>Huisvesting</t>
  </si>
  <si>
    <t>Kredieten (excl. hypotheek)</t>
  </si>
  <si>
    <t>Andere uitgaven</t>
  </si>
  <si>
    <t>Lopende kredieten</t>
  </si>
  <si>
    <t>Doel</t>
  </si>
  <si>
    <t>Totaal bedrag</t>
  </si>
  <si>
    <t>Financiële instelling</t>
  </si>
  <si>
    <t>Startdatum</t>
  </si>
  <si>
    <t>Type krediet</t>
  </si>
  <si>
    <t>Nog te betalen saldo</t>
  </si>
  <si>
    <t>Betalingsachterstallen</t>
  </si>
  <si>
    <t>Dit financieel sjabloon helpt je bij het opstellen van deze prognoses.</t>
  </si>
  <si>
    <t>Indien ja, hoe hoog is dit inkomen per maand?</t>
  </si>
  <si>
    <t>Hoeveel van dit inkomen ontvangt je partner nog bij opstart van je bedrijf?</t>
  </si>
  <si>
    <t>a. Hoeveel rente betaal je hiervoor per maand?</t>
  </si>
  <si>
    <t>b. Hoeveel moet je per maand terugbetalen (aflossen)?</t>
  </si>
  <si>
    <t>c. Wanneer begin je met aflossen?</t>
  </si>
  <si>
    <t xml:space="preserve"> - Vanaf wanneer heb je deze kosten?</t>
  </si>
  <si>
    <t>Welk aandeel vertegenwoordigen de aankoopkosten in je verkoopprijs (in %)?</t>
  </si>
  <si>
    <t>Welk BTW-tarief is van toepassing op de aankoopprijs?</t>
  </si>
  <si>
    <t>Wanneer moet je je leveranciers betalen (ivm aankopen)?</t>
  </si>
  <si>
    <t xml:space="preserve">vul percentage in: </t>
  </si>
  <si>
    <t>Totaal privé-uitgaven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</si>
</sst>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 &quot;€&quot;\ * #,##0.00_ ;_ &quot;€&quot;\ * \-#,##0.00_ ;_ &quot;€&quot;\ * &quot;-&quot;??_ ;_ @_ "/>
    <numFmt numFmtId="164" formatCode="&quot;€&quot;\ #,##0.00"/>
    <numFmt numFmtId="165" formatCode="#,##0_ ;\-#,##0\ "/>
    <numFmt numFmtId="166" formatCode="&quot;€ &quot;#,##0"/>
    <numFmt numFmtId="167" formatCode="_ &quot;€&quot;\ * #,##0_ ;_ &quot;€&quot;\ * \-#,##0_ ;_ &quot;€&quot;\ * &quot;-&quot;??_ ;_ @_ "/>
    <numFmt numFmtId="168" formatCode="0_ ;\-0\ "/>
    <numFmt numFmtId="169" formatCode="&quot;€ &quot;#,##0.00"/>
  </numFmts>
  <fonts count="25" x14ac:knownFonts="1">
    <font>
      <sz val="11"/>
      <color theme="1"/>
      <name val="Calibri"/>
      <family val="2"/>
      <scheme val="minor"/>
    </font>
    <font>
      <b/>
      <sz val="11"/>
      <color theme="1"/>
      <name val="Calibri"/>
      <family val="2"/>
      <scheme val="minor"/>
    </font>
    <font>
      <i/>
      <sz val="9"/>
      <color theme="1"/>
      <name val="Calibri"/>
      <family val="2"/>
      <scheme val="minor"/>
    </font>
    <font>
      <b/>
      <sz val="10"/>
      <color theme="1"/>
      <name val="Calibri"/>
      <family val="2"/>
      <scheme val="minor"/>
    </font>
    <font>
      <b/>
      <sz val="12"/>
      <color rgb="FFCC0099"/>
      <name val="Calibri"/>
      <family val="2"/>
      <scheme val="minor"/>
    </font>
    <font>
      <b/>
      <sz val="26"/>
      <color theme="8" tint="-0.249977111117893"/>
      <name val="Calibri"/>
      <family val="2"/>
      <scheme val="minor"/>
    </font>
    <font>
      <b/>
      <sz val="11"/>
      <color rgb="FF00B050"/>
      <name val="Calibri"/>
      <family val="2"/>
      <scheme val="minor"/>
    </font>
    <font>
      <u/>
      <sz val="11"/>
      <color theme="1"/>
      <name val="Calibri"/>
      <family val="2"/>
      <scheme val="minor"/>
    </font>
    <font>
      <b/>
      <i/>
      <sz val="12"/>
      <color rgb="FFCC0099"/>
      <name val="Calibri"/>
      <family val="2"/>
      <scheme val="minor"/>
    </font>
    <font>
      <b/>
      <sz val="11"/>
      <color theme="0"/>
      <name val="Calibri"/>
      <family val="2"/>
      <scheme val="minor"/>
    </font>
    <font>
      <sz val="11"/>
      <color theme="1"/>
      <name val="Calibri"/>
      <family val="2"/>
      <scheme val="minor"/>
    </font>
    <font>
      <sz val="11"/>
      <color theme="0"/>
      <name val="Calibri"/>
      <family val="2"/>
      <scheme val="minor"/>
    </font>
    <font>
      <i/>
      <sz val="11"/>
      <color theme="1"/>
      <name val="Calibri"/>
      <family val="2"/>
      <scheme val="minor"/>
    </font>
    <font>
      <sz val="10"/>
      <name val="Arial"/>
      <family val="2"/>
    </font>
    <font>
      <b/>
      <sz val="11"/>
      <name val="Calibri"/>
      <family val="2"/>
    </font>
    <font>
      <sz val="9"/>
      <color theme="1"/>
      <name val="Calibri"/>
      <family val="2"/>
      <scheme val="minor"/>
    </font>
    <font>
      <b/>
      <u/>
      <sz val="12"/>
      <color rgb="FFCC0099"/>
      <name val="Calibri"/>
      <family val="2"/>
      <scheme val="minor"/>
    </font>
    <font>
      <sz val="18"/>
      <color theme="8" tint="-0.249977111117893"/>
      <name val="Calibri"/>
      <family val="2"/>
      <scheme val="minor"/>
    </font>
    <font>
      <b/>
      <sz val="11"/>
      <color theme="8" tint="-0.249977111117893"/>
      <name val="Calibri"/>
      <family val="2"/>
      <scheme val="minor"/>
    </font>
    <font>
      <sz val="10"/>
      <color theme="1"/>
      <name val="Calibri"/>
      <family val="2"/>
      <scheme val="minor"/>
    </font>
    <font>
      <i/>
      <sz val="9"/>
      <name val="Calibri"/>
      <family val="2"/>
      <scheme val="minor"/>
    </font>
    <font>
      <b/>
      <i/>
      <sz val="9"/>
      <name val="Calibri"/>
      <family val="2"/>
      <scheme val="minor"/>
    </font>
    <font>
      <i/>
      <sz val="8"/>
      <color theme="1"/>
      <name val="Calibri"/>
      <family val="2"/>
      <scheme val="minor"/>
    </font>
    <font>
      <b/>
      <sz val="12"/>
      <color theme="0"/>
      <name val="Calibri"/>
      <family val="2"/>
      <scheme val="minor"/>
    </font>
    <font>
      <b/>
      <sz val="11"/>
      <color rgb="FF000000"/>
      <name val="Calibri"/>
    </font>
  </fonts>
  <fills count="12">
    <fill>
      <patternFill patternType="none"/>
    </fill>
    <fill>
      <patternFill patternType="gray125"/>
    </fill>
    <fill>
      <patternFill patternType="solid">
        <fgColor theme="8"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0" tint="-0.14999847407452621"/>
        <bgColor indexed="42"/>
      </patternFill>
    </fill>
    <fill>
      <patternFill patternType="solid">
        <fgColor theme="9" tint="0.59999389629810485"/>
        <bgColor indexed="64"/>
      </patternFill>
    </fill>
    <fill>
      <patternFill patternType="solid">
        <fgColor rgb="FFB6DDE8"/>
        <bgColor rgb="FFB6DDE8"/>
      </patternFill>
    </fill>
  </fills>
  <borders count="39">
    <border>
      <left/>
      <right/>
      <top/>
      <bottom/>
      <diagonal/>
    </border>
    <border>
      <left/>
      <right/>
      <top/>
      <bottom style="thin">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thin">
        <color indexed="64"/>
      </top>
      <bottom/>
      <diagonal/>
    </border>
    <border>
      <left style="thin">
        <color auto="1"/>
      </left>
      <right style="double">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double">
        <color rgb="FF000000"/>
      </left>
      <right style="double">
        <color rgb="FF000000"/>
      </right>
      <top style="double">
        <color rgb="FF000000"/>
      </top>
      <bottom style="double">
        <color rgb="FF000000"/>
      </bottom>
      <diagonal/>
    </border>
  </borders>
  <cellStyleXfs count="4">
    <xf numFmtId="0" fontId="0" fillId="0" borderId="0"/>
    <xf numFmtId="9" fontId="10" fillId="0" borderId="0" applyFont="0" applyFill="0" applyBorder="0" applyAlignment="0" applyProtection="0"/>
    <xf numFmtId="0" fontId="13" fillId="0" borderId="0"/>
    <xf numFmtId="0" fontId="13" fillId="0" borderId="0"/>
  </cellStyleXfs>
  <cellXfs count="188">
    <xf numFmtId="0" fontId="0" fillId="0" borderId="0" xfId="0"/>
    <xf numFmtId="0" fontId="0" fillId="0" borderId="0" xfId="0" applyAlignment="1">
      <alignment vertical="center"/>
    </xf>
    <xf numFmtId="0" fontId="0" fillId="0" borderId="1" xfId="0" applyBorder="1"/>
    <xf numFmtId="0" fontId="2" fillId="0" borderId="0" xfId="0" applyFont="1" applyAlignment="1">
      <alignment horizontal="right"/>
    </xf>
    <xf numFmtId="0" fontId="3" fillId="0" borderId="0" xfId="0" applyFont="1" applyAlignment="1">
      <alignment horizontal="center"/>
    </xf>
    <xf numFmtId="0" fontId="0" fillId="3" borderId="0" xfId="0" applyFill="1"/>
    <xf numFmtId="0" fontId="4" fillId="0" borderId="1" xfId="0" applyFont="1" applyBorder="1"/>
    <xf numFmtId="0" fontId="5" fillId="0" borderId="0" xfId="0" applyFont="1" applyAlignment="1">
      <alignment vertical="center"/>
    </xf>
    <xf numFmtId="0" fontId="6" fillId="0" borderId="0" xfId="0" applyFont="1"/>
    <xf numFmtId="0" fontId="0" fillId="0" borderId="0" xfId="0" applyAlignment="1">
      <alignment horizontal="center"/>
    </xf>
    <xf numFmtId="0" fontId="1" fillId="0" borderId="0" xfId="0" applyFont="1" applyBorder="1" applyAlignment="1">
      <alignment horizontal="center"/>
    </xf>
    <xf numFmtId="0" fontId="1" fillId="0" borderId="0" xfId="0" applyFont="1" applyAlignment="1">
      <alignment horizontal="center"/>
    </xf>
    <xf numFmtId="44" fontId="1" fillId="4" borderId="2" xfId="0" applyNumberFormat="1" applyFont="1" applyFill="1" applyBorder="1" applyAlignment="1">
      <alignment horizontal="center"/>
    </xf>
    <xf numFmtId="0" fontId="0" fillId="0" borderId="1" xfId="0" applyFont="1" applyBorder="1"/>
    <xf numFmtId="0" fontId="0" fillId="0" borderId="1" xfId="0" applyBorder="1" applyAlignment="1">
      <alignment horizontal="center"/>
    </xf>
    <xf numFmtId="9" fontId="0" fillId="0" borderId="0" xfId="0" applyNumberFormat="1"/>
    <xf numFmtId="44" fontId="1" fillId="0" borderId="0" xfId="0" applyNumberFormat="1" applyFont="1" applyFill="1" applyBorder="1" applyAlignment="1">
      <alignment horizontal="center"/>
    </xf>
    <xf numFmtId="0" fontId="0" fillId="0" borderId="0" xfId="0" applyFill="1"/>
    <xf numFmtId="0" fontId="9" fillId="5" borderId="3" xfId="0" applyFont="1" applyFill="1" applyBorder="1"/>
    <xf numFmtId="0" fontId="0" fillId="0" borderId="3" xfId="0" applyBorder="1"/>
    <xf numFmtId="164" fontId="0" fillId="4" borderId="3" xfId="0" applyNumberFormat="1" applyFill="1" applyBorder="1"/>
    <xf numFmtId="0" fontId="9" fillId="5" borderId="3" xfId="0" applyFont="1" applyFill="1" applyBorder="1" applyAlignment="1">
      <alignment horizontal="center"/>
    </xf>
    <xf numFmtId="164" fontId="0" fillId="4" borderId="3" xfId="0" applyNumberFormat="1" applyFill="1" applyBorder="1" applyAlignment="1">
      <alignment horizontal="center"/>
    </xf>
    <xf numFmtId="164" fontId="0" fillId="0" borderId="3" xfId="0" applyNumberFormat="1" applyFill="1" applyBorder="1" applyAlignment="1">
      <alignment horizontal="center"/>
    </xf>
    <xf numFmtId="0" fontId="1" fillId="0" borderId="3" xfId="0" applyFont="1" applyBorder="1"/>
    <xf numFmtId="0" fontId="1" fillId="0" borderId="5" xfId="0" applyFont="1" applyBorder="1"/>
    <xf numFmtId="0" fontId="0" fillId="0" borderId="0" xfId="0" applyAlignment="1">
      <alignment horizontal="right"/>
    </xf>
    <xf numFmtId="0" fontId="9" fillId="5" borderId="3" xfId="0" applyFont="1" applyFill="1" applyBorder="1" applyAlignment="1">
      <alignment horizontal="left"/>
    </xf>
    <xf numFmtId="0" fontId="0" fillId="5" borderId="3" xfId="0" applyFill="1" applyBorder="1"/>
    <xf numFmtId="0" fontId="0" fillId="4" borderId="3" xfId="0" applyFill="1" applyBorder="1"/>
    <xf numFmtId="0" fontId="0" fillId="0" borderId="9" xfId="0" applyBorder="1"/>
    <xf numFmtId="0" fontId="1" fillId="0" borderId="8" xfId="0" applyFont="1" applyBorder="1"/>
    <xf numFmtId="164" fontId="0" fillId="4" borderId="9" xfId="0" applyNumberFormat="1" applyFill="1" applyBorder="1"/>
    <xf numFmtId="164" fontId="0" fillId="4" borderId="6" xfId="0" applyNumberForma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xf numFmtId="164" fontId="1" fillId="4" borderId="6" xfId="0" applyNumberFormat="1" applyFont="1" applyFill="1" applyBorder="1" applyAlignment="1">
      <alignment horizontal="right"/>
    </xf>
    <xf numFmtId="164" fontId="1" fillId="4" borderId="2" xfId="0" applyNumberFormat="1" applyFont="1" applyFill="1" applyBorder="1" applyAlignment="1">
      <alignment horizontal="center"/>
    </xf>
    <xf numFmtId="10" fontId="0" fillId="4" borderId="3" xfId="0" applyNumberFormat="1" applyFill="1" applyBorder="1"/>
    <xf numFmtId="165" fontId="0" fillId="4" borderId="3" xfId="0" applyNumberFormat="1" applyFill="1" applyBorder="1"/>
    <xf numFmtId="0" fontId="9" fillId="5" borderId="10" xfId="0" applyFont="1" applyFill="1" applyBorder="1"/>
    <xf numFmtId="0" fontId="4" fillId="0" borderId="0" xfId="0" applyFont="1" applyBorder="1"/>
    <xf numFmtId="0" fontId="0" fillId="0" borderId="0" xfId="0" applyBorder="1"/>
    <xf numFmtId="44" fontId="1" fillId="6" borderId="2" xfId="0" applyNumberFormat="1" applyFont="1" applyFill="1" applyBorder="1" applyAlignment="1">
      <alignment horizontal="center"/>
    </xf>
    <xf numFmtId="0" fontId="6" fillId="8" borderId="0" xfId="0" applyFont="1" applyFill="1"/>
    <xf numFmtId="0" fontId="0" fillId="8" borderId="0" xfId="0" applyFill="1" applyAlignment="1">
      <alignment horizontal="left"/>
    </xf>
    <xf numFmtId="0" fontId="0" fillId="8" borderId="0" xfId="0" applyFill="1" applyAlignment="1">
      <alignment horizontal="center"/>
    </xf>
    <xf numFmtId="44" fontId="11" fillId="0" borderId="0" xfId="0" applyNumberFormat="1" applyFont="1" applyAlignment="1">
      <alignment horizontal="center"/>
    </xf>
    <xf numFmtId="0" fontId="6" fillId="0" borderId="0" xfId="0" applyFont="1" applyAlignment="1">
      <alignment horizontal="left"/>
    </xf>
    <xf numFmtId="0" fontId="0" fillId="0" borderId="0" xfId="0" applyAlignment="1">
      <alignment horizontal="left"/>
    </xf>
    <xf numFmtId="0" fontId="2" fillId="0" borderId="0" xfId="0" applyFont="1"/>
    <xf numFmtId="44" fontId="0" fillId="4" borderId="3" xfId="0" applyNumberFormat="1" applyFill="1" applyBorder="1"/>
    <xf numFmtId="44" fontId="1" fillId="4" borderId="7" xfId="0" applyNumberFormat="1" applyFont="1" applyFill="1" applyBorder="1"/>
    <xf numFmtId="166" fontId="14" fillId="9" borderId="13" xfId="2" applyNumberFormat="1" applyFont="1" applyFill="1" applyBorder="1" applyAlignment="1" applyProtection="1">
      <alignment horizontal="center" vertical="center"/>
    </xf>
    <xf numFmtId="166" fontId="1" fillId="4" borderId="3" xfId="0" applyNumberFormat="1" applyFont="1" applyFill="1" applyBorder="1"/>
    <xf numFmtId="166" fontId="0" fillId="0" borderId="0" xfId="0" applyNumberFormat="1"/>
    <xf numFmtId="166" fontId="0" fillId="5" borderId="11" xfId="0" applyNumberFormat="1" applyFill="1" applyBorder="1"/>
    <xf numFmtId="166" fontId="0" fillId="5" borderId="12" xfId="0" applyNumberFormat="1" applyFill="1" applyBorder="1"/>
    <xf numFmtId="166" fontId="0" fillId="7" borderId="3" xfId="0" applyNumberFormat="1" applyFill="1" applyBorder="1"/>
    <xf numFmtId="166" fontId="0" fillId="7" borderId="9" xfId="0" applyNumberFormat="1" applyFill="1" applyBorder="1"/>
    <xf numFmtId="166" fontId="1" fillId="4" borderId="9" xfId="0" applyNumberFormat="1" applyFont="1" applyFill="1" applyBorder="1"/>
    <xf numFmtId="166" fontId="1" fillId="4" borderId="7" xfId="0" applyNumberFormat="1" applyFont="1" applyFill="1" applyBorder="1"/>
    <xf numFmtId="166" fontId="0" fillId="5" borderId="4" xfId="0" applyNumberFormat="1" applyFill="1" applyBorder="1"/>
    <xf numFmtId="166" fontId="0" fillId="0" borderId="9" xfId="0" applyNumberFormat="1" applyBorder="1"/>
    <xf numFmtId="166" fontId="1" fillId="4" borderId="6" xfId="0" applyNumberFormat="1" applyFont="1" applyFill="1" applyBorder="1"/>
    <xf numFmtId="0" fontId="12" fillId="0" borderId="14" xfId="0" applyFont="1" applyBorder="1"/>
    <xf numFmtId="44" fontId="1" fillId="4" borderId="3" xfId="0" applyNumberFormat="1" applyFont="1" applyFill="1" applyBorder="1"/>
    <xf numFmtId="44" fontId="0" fillId="4" borderId="9" xfId="0" applyNumberFormat="1" applyFill="1" applyBorder="1"/>
    <xf numFmtId="9" fontId="12" fillId="4" borderId="14" xfId="1" applyFont="1" applyFill="1" applyBorder="1"/>
    <xf numFmtId="0" fontId="0" fillId="0" borderId="15" xfId="0" applyBorder="1"/>
    <xf numFmtId="0" fontId="0" fillId="0" borderId="17" xfId="0" applyBorder="1"/>
    <xf numFmtId="0" fontId="0" fillId="0" borderId="19" xfId="0" applyBorder="1"/>
    <xf numFmtId="0" fontId="0" fillId="0" borderId="12" xfId="0" applyBorder="1"/>
    <xf numFmtId="0" fontId="0" fillId="0" borderId="10" xfId="0" applyBorder="1"/>
    <xf numFmtId="0" fontId="0" fillId="0" borderId="11" xfId="0" applyBorder="1"/>
    <xf numFmtId="1" fontId="0" fillId="4" borderId="16" xfId="0" applyNumberFormat="1" applyFill="1" applyBorder="1" applyAlignment="1">
      <alignment horizontal="center"/>
    </xf>
    <xf numFmtId="0" fontId="0" fillId="4" borderId="18" xfId="0" applyFill="1" applyBorder="1" applyAlignment="1">
      <alignment horizontal="center"/>
    </xf>
    <xf numFmtId="0" fontId="0" fillId="4" borderId="20" xfId="0" applyFill="1" applyBorder="1" applyAlignment="1">
      <alignment horizontal="center"/>
    </xf>
    <xf numFmtId="166" fontId="0" fillId="4" borderId="18" xfId="0" applyNumberFormat="1" applyFill="1" applyBorder="1" applyAlignment="1">
      <alignment horizontal="center"/>
    </xf>
    <xf numFmtId="9" fontId="0" fillId="4" borderId="18" xfId="0" applyNumberFormat="1" applyFill="1" applyBorder="1" applyAlignment="1">
      <alignment horizontal="center"/>
    </xf>
    <xf numFmtId="0" fontId="0" fillId="0" borderId="0" xfId="0" applyBorder="1" applyAlignment="1"/>
    <xf numFmtId="10" fontId="0" fillId="4" borderId="18" xfId="0" applyNumberFormat="1" applyFill="1" applyBorder="1" applyAlignment="1">
      <alignment horizontal="center"/>
    </xf>
    <xf numFmtId="0" fontId="0" fillId="0" borderId="0" xfId="0" applyFill="1" applyBorder="1"/>
    <xf numFmtId="166" fontId="0" fillId="4" borderId="18" xfId="0" applyNumberFormat="1" applyFill="1" applyBorder="1" applyAlignment="1">
      <alignment horizontal="right"/>
    </xf>
    <xf numFmtId="166" fontId="0" fillId="4" borderId="16" xfId="0" applyNumberFormat="1" applyFill="1" applyBorder="1" applyAlignment="1">
      <alignment horizontal="right"/>
    </xf>
    <xf numFmtId="166" fontId="0" fillId="4" borderId="20" xfId="0" applyNumberFormat="1" applyFill="1" applyBorder="1" applyAlignment="1">
      <alignment horizontal="right"/>
    </xf>
    <xf numFmtId="166" fontId="0" fillId="4" borderId="3" xfId="0" applyNumberFormat="1" applyFill="1" applyBorder="1"/>
    <xf numFmtId="44" fontId="1" fillId="4" borderId="6" xfId="0" applyNumberFormat="1" applyFont="1" applyFill="1" applyBorder="1"/>
    <xf numFmtId="14" fontId="0" fillId="0" borderId="0" xfId="0" applyNumberFormat="1"/>
    <xf numFmtId="3" fontId="0" fillId="0" borderId="0" xfId="0" applyNumberFormat="1"/>
    <xf numFmtId="0" fontId="9" fillId="5" borderId="15" xfId="0" applyFont="1" applyFill="1" applyBorder="1"/>
    <xf numFmtId="0" fontId="0" fillId="5" borderId="8" xfId="0" applyFill="1" applyBorder="1"/>
    <xf numFmtId="9" fontId="0" fillId="0" borderId="22" xfId="0" applyNumberFormat="1" applyBorder="1"/>
    <xf numFmtId="9" fontId="0" fillId="0" borderId="23" xfId="0" applyNumberFormat="1" applyBorder="1"/>
    <xf numFmtId="0" fontId="0" fillId="0" borderId="24" xfId="0" applyBorder="1"/>
    <xf numFmtId="3" fontId="0" fillId="0" borderId="25" xfId="0" applyNumberFormat="1" applyBorder="1"/>
    <xf numFmtId="0" fontId="0" fillId="0" borderId="26" xfId="0" applyBorder="1"/>
    <xf numFmtId="0" fontId="0" fillId="5" borderId="27" xfId="0" applyFill="1" applyBorder="1"/>
    <xf numFmtId="0" fontId="0" fillId="5" borderId="28" xfId="0" applyFill="1" applyBorder="1"/>
    <xf numFmtId="0" fontId="0" fillId="5" borderId="29" xfId="0" applyFill="1" applyBorder="1"/>
    <xf numFmtId="0" fontId="0" fillId="0" borderId="16" xfId="0" applyBorder="1"/>
    <xf numFmtId="0" fontId="9" fillId="5" borderId="30" xfId="0" applyFont="1" applyFill="1" applyBorder="1"/>
    <xf numFmtId="3" fontId="0" fillId="0" borderId="0" xfId="0" applyNumberFormat="1" applyBorder="1"/>
    <xf numFmtId="0" fontId="0" fillId="0" borderId="0" xfId="0" applyFill="1" applyBorder="1" applyAlignment="1">
      <alignment wrapText="1"/>
    </xf>
    <xf numFmtId="0" fontId="0" fillId="0" borderId="15" xfId="0" applyFill="1" applyBorder="1"/>
    <xf numFmtId="0" fontId="0" fillId="0" borderId="8" xfId="0" applyBorder="1"/>
    <xf numFmtId="0" fontId="0" fillId="0" borderId="19" xfId="0" applyFill="1" applyBorder="1" applyAlignment="1">
      <alignment wrapText="1"/>
    </xf>
    <xf numFmtId="3" fontId="0" fillId="0" borderId="21" xfId="0" applyNumberFormat="1" applyBorder="1"/>
    <xf numFmtId="3" fontId="0" fillId="0" borderId="21" xfId="0" applyNumberFormat="1" applyBorder="1" applyAlignment="1">
      <alignment vertical="top"/>
    </xf>
    <xf numFmtId="3" fontId="0" fillId="0" borderId="20" xfId="0" applyNumberFormat="1" applyBorder="1" applyAlignment="1">
      <alignment vertical="top"/>
    </xf>
    <xf numFmtId="0" fontId="0" fillId="0" borderId="31" xfId="0" applyBorder="1"/>
    <xf numFmtId="1" fontId="0" fillId="4" borderId="32" xfId="0" applyNumberFormat="1" applyFill="1" applyBorder="1" applyAlignment="1">
      <alignment horizontal="center"/>
    </xf>
    <xf numFmtId="3" fontId="0" fillId="0" borderId="0" xfId="0" applyNumberFormat="1" applyBorder="1" applyAlignment="1">
      <alignment vertical="top"/>
    </xf>
    <xf numFmtId="167" fontId="0" fillId="4" borderId="23" xfId="0" applyNumberFormat="1" applyFill="1" applyBorder="1" applyAlignment="1">
      <alignment horizontal="center"/>
    </xf>
    <xf numFmtId="3" fontId="15" fillId="0" borderId="0" xfId="0" applyNumberFormat="1" applyFont="1"/>
    <xf numFmtId="3" fontId="1" fillId="0" borderId="15" xfId="0" applyNumberFormat="1" applyFont="1" applyBorder="1"/>
    <xf numFmtId="9" fontId="0" fillId="0" borderId="8" xfId="0" applyNumberFormat="1" applyBorder="1"/>
    <xf numFmtId="3" fontId="0" fillId="0" borderId="17" xfId="0" applyNumberFormat="1" applyBorder="1"/>
    <xf numFmtId="3" fontId="0" fillId="0" borderId="23" xfId="0" applyNumberFormat="1" applyBorder="1"/>
    <xf numFmtId="3" fontId="0" fillId="0" borderId="24" xfId="0" applyNumberFormat="1" applyBorder="1"/>
    <xf numFmtId="9" fontId="0" fillId="0" borderId="25" xfId="0" applyNumberFormat="1" applyBorder="1"/>
    <xf numFmtId="3" fontId="0" fillId="0" borderId="26" xfId="0" applyNumberFormat="1" applyBorder="1"/>
    <xf numFmtId="167" fontId="1" fillId="4" borderId="26" xfId="0" applyNumberFormat="1" applyFont="1" applyFill="1" applyBorder="1" applyAlignment="1">
      <alignment horizontal="center"/>
    </xf>
    <xf numFmtId="0" fontId="0" fillId="0" borderId="0" xfId="0" applyAlignment="1">
      <alignment wrapText="1"/>
    </xf>
    <xf numFmtId="0" fontId="0" fillId="0" borderId="0" xfId="0" applyAlignment="1">
      <alignment vertical="top"/>
    </xf>
    <xf numFmtId="0" fontId="2" fillId="0" borderId="0" xfId="0" applyFont="1" applyAlignment="1">
      <alignment horizontal="right" vertical="top"/>
    </xf>
    <xf numFmtId="0" fontId="0" fillId="0" borderId="28" xfId="0" applyBorder="1" applyAlignment="1">
      <alignment horizontal="center"/>
    </xf>
    <xf numFmtId="44" fontId="1" fillId="10" borderId="2" xfId="0" applyNumberFormat="1" applyFont="1" applyFill="1" applyBorder="1" applyAlignment="1">
      <alignment horizontal="center"/>
    </xf>
    <xf numFmtId="3" fontId="0" fillId="4" borderId="32" xfId="0" applyNumberFormat="1" applyFill="1" applyBorder="1" applyAlignment="1">
      <alignment horizontal="center"/>
    </xf>
    <xf numFmtId="169" fontId="0" fillId="4" borderId="18" xfId="0" applyNumberFormat="1" applyFill="1" applyBorder="1" applyAlignment="1">
      <alignment horizontal="center"/>
    </xf>
    <xf numFmtId="0" fontId="9" fillId="5" borderId="22" xfId="0" applyFont="1" applyFill="1" applyBorder="1" applyAlignment="1">
      <alignment vertical="top"/>
    </xf>
    <xf numFmtId="0" fontId="9" fillId="5" borderId="22" xfId="0" applyFont="1" applyFill="1" applyBorder="1" applyAlignment="1">
      <alignment horizontal="center" vertical="top"/>
    </xf>
    <xf numFmtId="0" fontId="9" fillId="5" borderId="22" xfId="0" applyFont="1" applyFill="1" applyBorder="1" applyAlignment="1">
      <alignment horizontal="center" vertical="top" wrapText="1"/>
    </xf>
    <xf numFmtId="0" fontId="0" fillId="0" borderId="22" xfId="0" applyBorder="1"/>
    <xf numFmtId="164" fontId="0" fillId="4" borderId="22" xfId="0" applyNumberFormat="1" applyFill="1" applyBorder="1" applyAlignment="1">
      <alignment horizontal="center"/>
    </xf>
    <xf numFmtId="0" fontId="0" fillId="0" borderId="33" xfId="0" applyBorder="1"/>
    <xf numFmtId="164" fontId="0" fillId="4" borderId="33" xfId="0" applyNumberFormat="1" applyFill="1" applyBorder="1" applyAlignment="1">
      <alignment horizontal="center"/>
    </xf>
    <xf numFmtId="0" fontId="1" fillId="0" borderId="34" xfId="0" applyFont="1" applyFill="1" applyBorder="1"/>
    <xf numFmtId="164" fontId="1" fillId="4" borderId="35" xfId="0" applyNumberFormat="1" applyFont="1" applyFill="1" applyBorder="1" applyAlignment="1">
      <alignment horizontal="center"/>
    </xf>
    <xf numFmtId="0" fontId="0" fillId="0" borderId="35" xfId="0" applyBorder="1" applyAlignment="1">
      <alignment horizontal="center"/>
    </xf>
    <xf numFmtId="164" fontId="1" fillId="4" borderId="36" xfId="0" applyNumberFormat="1" applyFont="1" applyFill="1" applyBorder="1" applyAlignment="1">
      <alignment horizontal="center"/>
    </xf>
    <xf numFmtId="169" fontId="1" fillId="4" borderId="6" xfId="0" applyNumberFormat="1" applyFont="1" applyFill="1" applyBorder="1"/>
    <xf numFmtId="169" fontId="1" fillId="4" borderId="7" xfId="0" applyNumberFormat="1" applyFont="1" applyFill="1" applyBorder="1"/>
    <xf numFmtId="0" fontId="11" fillId="0" borderId="1" xfId="0" applyFont="1" applyBorder="1" applyAlignment="1">
      <alignment horizontal="center"/>
    </xf>
    <xf numFmtId="168" fontId="1" fillId="4" borderId="2" xfId="0" applyNumberFormat="1" applyFont="1" applyFill="1" applyBorder="1" applyAlignment="1">
      <alignment horizontal="center"/>
    </xf>
    <xf numFmtId="164" fontId="1" fillId="4" borderId="3" xfId="0" applyNumberFormat="1" applyFont="1" applyFill="1" applyBorder="1" applyAlignment="1">
      <alignment horizontal="center"/>
    </xf>
    <xf numFmtId="0" fontId="1" fillId="0" borderId="0" xfId="0" applyFont="1"/>
    <xf numFmtId="0" fontId="17" fillId="0" borderId="0" xfId="0" applyFont="1"/>
    <xf numFmtId="0" fontId="1" fillId="0" borderId="0" xfId="0" applyFont="1" applyAlignment="1">
      <alignment wrapText="1"/>
    </xf>
    <xf numFmtId="0" fontId="0" fillId="0" borderId="0" xfId="0" applyFont="1"/>
    <xf numFmtId="0" fontId="3" fillId="0" borderId="0" xfId="0" applyFont="1" applyAlignment="1">
      <alignment wrapText="1"/>
    </xf>
    <xf numFmtId="0" fontId="20" fillId="0" borderId="0" xfId="0" applyFont="1" applyAlignment="1">
      <alignment horizontal="center" vertical="center" wrapText="1"/>
    </xf>
    <xf numFmtId="0" fontId="22" fillId="0" borderId="0" xfId="0" applyFont="1"/>
    <xf numFmtId="44" fontId="1" fillId="2" borderId="2" xfId="0" applyNumberFormat="1"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44" fontId="1" fillId="2" borderId="2" xfId="0" applyNumberFormat="1" applyFont="1" applyFill="1" applyBorder="1" applyAlignment="1" applyProtection="1">
      <alignment horizontal="center" vertical="top"/>
      <protection locked="0"/>
    </xf>
    <xf numFmtId="14" fontId="1" fillId="2" borderId="2" xfId="0" applyNumberFormat="1" applyFont="1" applyFill="1" applyBorder="1" applyAlignment="1" applyProtection="1">
      <alignment horizontal="center"/>
      <protection locked="0"/>
    </xf>
    <xf numFmtId="49" fontId="1" fillId="2" borderId="2" xfId="0" applyNumberFormat="1" applyFont="1" applyFill="1" applyBorder="1" applyAlignment="1" applyProtection="1">
      <alignment horizontal="center" wrapText="1"/>
      <protection locked="0"/>
    </xf>
    <xf numFmtId="9" fontId="1" fillId="2" borderId="2" xfId="0" applyNumberFormat="1" applyFont="1" applyFill="1" applyBorder="1" applyAlignment="1" applyProtection="1">
      <alignment horizontal="center"/>
      <protection locked="0"/>
    </xf>
    <xf numFmtId="9" fontId="1" fillId="2" borderId="2" xfId="1" applyFont="1" applyFill="1" applyBorder="1" applyAlignment="1" applyProtection="1">
      <alignment horizontal="center"/>
      <protection locked="0"/>
    </xf>
    <xf numFmtId="9" fontId="0" fillId="2" borderId="22" xfId="1" applyFont="1" applyFill="1" applyBorder="1" applyProtection="1">
      <protection locked="0"/>
    </xf>
    <xf numFmtId="9" fontId="0" fillId="2" borderId="33" xfId="1" applyFont="1" applyFill="1" applyBorder="1" applyProtection="1">
      <protection locked="0"/>
    </xf>
    <xf numFmtId="0" fontId="23" fillId="5" borderId="22" xfId="0" applyFont="1" applyFill="1" applyBorder="1"/>
    <xf numFmtId="0" fontId="23" fillId="5" borderId="22" xfId="0" applyFont="1" applyFill="1" applyBorder="1" applyAlignment="1">
      <alignment horizontal="center"/>
    </xf>
    <xf numFmtId="0" fontId="0" fillId="0" borderId="22" xfId="0" applyFont="1" applyBorder="1"/>
    <xf numFmtId="164" fontId="0" fillId="4" borderId="22" xfId="0" applyNumberFormat="1" applyFont="1" applyFill="1" applyBorder="1"/>
    <xf numFmtId="164" fontId="0" fillId="4" borderId="33" xfId="0" applyNumberFormat="1" applyFill="1" applyBorder="1"/>
    <xf numFmtId="164" fontId="1" fillId="4" borderId="6" xfId="0" applyNumberFormat="1" applyFont="1" applyFill="1" applyBorder="1"/>
    <xf numFmtId="164" fontId="1" fillId="4" borderId="37" xfId="0" applyNumberFormat="1" applyFont="1" applyFill="1" applyBorder="1"/>
    <xf numFmtId="0" fontId="23" fillId="5" borderId="10" xfId="0" applyFont="1" applyFill="1" applyBorder="1"/>
    <xf numFmtId="0" fontId="9" fillId="5" borderId="11" xfId="0" applyFont="1" applyFill="1" applyBorder="1" applyAlignment="1">
      <alignment horizontal="center"/>
    </xf>
    <xf numFmtId="0" fontId="1" fillId="4" borderId="22" xfId="0" applyFont="1" applyFill="1" applyBorder="1" applyAlignment="1">
      <alignment vertical="top"/>
    </xf>
    <xf numFmtId="0" fontId="1" fillId="4" borderId="22" xfId="0" applyFont="1" applyFill="1" applyBorder="1" applyAlignment="1">
      <alignment vertical="top" wrapText="1"/>
    </xf>
    <xf numFmtId="0" fontId="0" fillId="0" borderId="0" xfId="0" applyAlignment="1">
      <alignment vertical="top" wrapText="1"/>
    </xf>
    <xf numFmtId="0" fontId="0" fillId="0" borderId="22" xfId="0" applyBorder="1" applyAlignment="1" applyProtection="1">
      <alignment vertical="top"/>
      <protection locked="0"/>
    </xf>
    <xf numFmtId="164" fontId="0" fillId="0" borderId="22" xfId="0" applyNumberFormat="1" applyBorder="1" applyAlignment="1" applyProtection="1">
      <alignment vertical="top"/>
      <protection locked="0"/>
    </xf>
    <xf numFmtId="0" fontId="0" fillId="0" borderId="22" xfId="0" applyBorder="1" applyAlignment="1" applyProtection="1">
      <alignment horizontal="center" vertical="top"/>
      <protection locked="0"/>
    </xf>
    <xf numFmtId="14" fontId="0" fillId="0" borderId="22" xfId="0" applyNumberFormat="1" applyBorder="1" applyAlignment="1" applyProtection="1">
      <alignment vertical="top"/>
      <protection locked="0"/>
    </xf>
    <xf numFmtId="0" fontId="0" fillId="0" borderId="22" xfId="0" applyBorder="1" applyAlignment="1" applyProtection="1">
      <alignment vertical="top" wrapText="1"/>
      <protection locked="0"/>
    </xf>
    <xf numFmtId="165" fontId="1" fillId="2" borderId="2" xfId="0" applyNumberFormat="1" applyFont="1" applyFill="1" applyBorder="1" applyAlignment="1" applyProtection="1">
      <alignment horizontal="center"/>
      <protection locked="0"/>
    </xf>
    <xf numFmtId="0" fontId="0" fillId="0" borderId="0" xfId="0" applyAlignment="1">
      <alignment horizontal="left"/>
    </xf>
    <xf numFmtId="0" fontId="0" fillId="0" borderId="15" xfId="0" applyBorder="1" applyAlignment="1"/>
    <xf numFmtId="0" fontId="0" fillId="0" borderId="8" xfId="0" applyBorder="1" applyAlignment="1"/>
    <xf numFmtId="0" fontId="0" fillId="0" borderId="17" xfId="0" applyBorder="1" applyAlignment="1"/>
    <xf numFmtId="0" fontId="0" fillId="0" borderId="3" xfId="0" applyBorder="1" applyAlignment="1"/>
    <xf numFmtId="0" fontId="0" fillId="0" borderId="19" xfId="0" applyBorder="1" applyAlignment="1"/>
    <xf numFmtId="0" fontId="0" fillId="0" borderId="21" xfId="0" applyBorder="1" applyAlignment="1"/>
    <xf numFmtId="44" fontId="24" fillId="11" borderId="38" xfId="0" applyNumberFormat="1" applyFont="1" applyFill="1" applyBorder="1" applyAlignment="1" applyProtection="1">
      <alignment horizontal="center"/>
      <protection locked="0"/>
    </xf>
  </cellXfs>
  <cellStyles count="4">
    <cellStyle name="Procent" xfId="1" builtinId="5"/>
    <cellStyle name="Standaard" xfId="0" builtinId="0"/>
    <cellStyle name="Standaard 2" xfId="3"/>
    <cellStyle name="Standaard 3" xfId="2"/>
  </cellStyles>
  <dxfs count="0"/>
  <tableStyles count="0" defaultTableStyle="TableStyleMedium2" defaultPivotStyle="PivotStyleLight16"/>
  <colors>
    <mruColors>
      <color rgb="FFCC0099"/>
      <color rgb="FFCC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106680</xdr:colOff>
      <xdr:row>22</xdr:row>
      <xdr:rowOff>76200</xdr:rowOff>
    </xdr:from>
    <xdr:to>
      <xdr:col>1</xdr:col>
      <xdr:colOff>6431280</xdr:colOff>
      <xdr:row>27</xdr:row>
      <xdr:rowOff>167640</xdr:rowOff>
    </xdr:to>
    <xdr:pic>
      <xdr:nvPicPr>
        <xdr:cNvPr id="4" name="Afbeelding 3"/>
        <xdr:cNvPicPr/>
      </xdr:nvPicPr>
      <xdr:blipFill rotWithShape="1">
        <a:blip xmlns:r="http://schemas.openxmlformats.org/officeDocument/2006/relationships" r:embed="rId1"/>
        <a:srcRect l="2914" t="65882" r="43179" b="20461"/>
        <a:stretch/>
      </xdr:blipFill>
      <xdr:spPr bwMode="auto">
        <a:xfrm>
          <a:off x="304800" y="5676900"/>
          <a:ext cx="6324600" cy="100584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5105400</xdr:colOff>
      <xdr:row>23</xdr:row>
      <xdr:rowOff>129540</xdr:rowOff>
    </xdr:from>
    <xdr:to>
      <xdr:col>1</xdr:col>
      <xdr:colOff>6400800</xdr:colOff>
      <xdr:row>26</xdr:row>
      <xdr:rowOff>45720</xdr:rowOff>
    </xdr:to>
    <xdr:sp macro="" textlink="">
      <xdr:nvSpPr>
        <xdr:cNvPr id="5" name="Ovaal 4"/>
        <xdr:cNvSpPr/>
      </xdr:nvSpPr>
      <xdr:spPr>
        <a:xfrm>
          <a:off x="5105400" y="5913120"/>
          <a:ext cx="1295400" cy="464820"/>
        </a:xfrm>
        <a:prstGeom prst="ellipse">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53340</xdr:colOff>
      <xdr:row>30</xdr:row>
      <xdr:rowOff>38100</xdr:rowOff>
    </xdr:from>
    <xdr:to>
      <xdr:col>1</xdr:col>
      <xdr:colOff>6139180</xdr:colOff>
      <xdr:row>37</xdr:row>
      <xdr:rowOff>76200</xdr:rowOff>
    </xdr:to>
    <xdr:pic>
      <xdr:nvPicPr>
        <xdr:cNvPr id="7" name="Afbeelding 6"/>
        <xdr:cNvPicPr/>
      </xdr:nvPicPr>
      <xdr:blipFill rotWithShape="1">
        <a:blip xmlns:r="http://schemas.openxmlformats.org/officeDocument/2006/relationships" r:embed="rId2"/>
        <a:srcRect l="2650" t="40235" r="39867" b="37632"/>
        <a:stretch/>
      </xdr:blipFill>
      <xdr:spPr bwMode="auto">
        <a:xfrm>
          <a:off x="251460" y="7101840"/>
          <a:ext cx="6085840" cy="131826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4282440</xdr:colOff>
      <xdr:row>31</xdr:row>
      <xdr:rowOff>68580</xdr:rowOff>
    </xdr:from>
    <xdr:to>
      <xdr:col>1</xdr:col>
      <xdr:colOff>5577840</xdr:colOff>
      <xdr:row>37</xdr:row>
      <xdr:rowOff>22860</xdr:rowOff>
    </xdr:to>
    <xdr:sp macro="" textlink="">
      <xdr:nvSpPr>
        <xdr:cNvPr id="8" name="Ovaal 7"/>
        <xdr:cNvSpPr/>
      </xdr:nvSpPr>
      <xdr:spPr>
        <a:xfrm>
          <a:off x="4480560" y="7315200"/>
          <a:ext cx="1295400" cy="1051560"/>
        </a:xfrm>
        <a:prstGeom prst="ellipse">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60960</xdr:colOff>
      <xdr:row>42</xdr:row>
      <xdr:rowOff>45720</xdr:rowOff>
    </xdr:from>
    <xdr:to>
      <xdr:col>1</xdr:col>
      <xdr:colOff>3604260</xdr:colOff>
      <xdr:row>55</xdr:row>
      <xdr:rowOff>152400</xdr:rowOff>
    </xdr:to>
    <xdr:pic>
      <xdr:nvPicPr>
        <xdr:cNvPr id="9" name="Afbeelding 8"/>
        <xdr:cNvPicPr/>
      </xdr:nvPicPr>
      <xdr:blipFill rotWithShape="1">
        <a:blip xmlns:r="http://schemas.openxmlformats.org/officeDocument/2006/relationships" r:embed="rId3"/>
        <a:srcRect t="6353" r="57749" b="39255"/>
        <a:stretch/>
      </xdr:blipFill>
      <xdr:spPr bwMode="auto">
        <a:xfrm>
          <a:off x="259080" y="9936480"/>
          <a:ext cx="3543300" cy="2484120"/>
        </a:xfrm>
        <a:prstGeom prst="rect">
          <a:avLst/>
        </a:prstGeom>
        <a:ln w="6350">
          <a:solidFill>
            <a:schemeClr val="tx1"/>
          </a:solidFill>
        </a:ln>
        <a:extLst>
          <a:ext uri="{53640926-AAD7-44D8-BBD7-CCE9431645EC}">
            <a14:shadowObscured xmlns:a14="http://schemas.microsoft.com/office/drawing/2010/main"/>
          </a:ext>
        </a:extLst>
      </xdr:spPr>
    </xdr:pic>
    <xdr:clientData/>
  </xdr:twoCellAnchor>
  <xdr:twoCellAnchor>
    <xdr:from>
      <xdr:col>1</xdr:col>
      <xdr:colOff>1059180</xdr:colOff>
      <xdr:row>51</xdr:row>
      <xdr:rowOff>7620</xdr:rowOff>
    </xdr:from>
    <xdr:to>
      <xdr:col>1</xdr:col>
      <xdr:colOff>3299460</xdr:colOff>
      <xdr:row>53</xdr:row>
      <xdr:rowOff>0</xdr:rowOff>
    </xdr:to>
    <xdr:sp macro="" textlink="">
      <xdr:nvSpPr>
        <xdr:cNvPr id="10" name="Afgeronde rechthoek 9"/>
        <xdr:cNvSpPr/>
      </xdr:nvSpPr>
      <xdr:spPr>
        <a:xfrm>
          <a:off x="1257300" y="11544300"/>
          <a:ext cx="2240280" cy="358140"/>
        </a:xfrm>
        <a:prstGeom prst="roundRect">
          <a:avLst/>
        </a:prstGeom>
        <a:noFill/>
        <a:ln w="2857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editAs="oneCell">
    <xdr:from>
      <xdr:col>1</xdr:col>
      <xdr:colOff>5212080</xdr:colOff>
      <xdr:row>0</xdr:row>
      <xdr:rowOff>129540</xdr:rowOff>
    </xdr:from>
    <xdr:to>
      <xdr:col>1</xdr:col>
      <xdr:colOff>7970519</xdr:colOff>
      <xdr:row>0</xdr:row>
      <xdr:rowOff>971214</xdr:rowOff>
    </xdr:to>
    <xdr:pic>
      <xdr:nvPicPr>
        <xdr:cNvPr id="3" name="Afbeelding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03520" y="129540"/>
          <a:ext cx="2758439" cy="8416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365760</xdr:colOff>
      <xdr:row>0</xdr:row>
      <xdr:rowOff>76201</xdr:rowOff>
    </xdr:from>
    <xdr:to>
      <xdr:col>6</xdr:col>
      <xdr:colOff>304800</xdr:colOff>
      <xdr:row>0</xdr:row>
      <xdr:rowOff>1010879</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3480" y="76201"/>
          <a:ext cx="3063240" cy="9346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861060</xdr:colOff>
      <xdr:row>0</xdr:row>
      <xdr:rowOff>121920</xdr:rowOff>
    </xdr:from>
    <xdr:to>
      <xdr:col>7</xdr:col>
      <xdr:colOff>975360</xdr:colOff>
      <xdr:row>0</xdr:row>
      <xdr:rowOff>1014746</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71360" y="121920"/>
          <a:ext cx="2926080" cy="8928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567648</xdr:colOff>
      <xdr:row>0</xdr:row>
      <xdr:rowOff>129541</xdr:rowOff>
    </xdr:from>
    <xdr:to>
      <xdr:col>6</xdr:col>
      <xdr:colOff>38100</xdr:colOff>
      <xdr:row>0</xdr:row>
      <xdr:rowOff>967741</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6628" y="129541"/>
          <a:ext cx="2747052"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159434</xdr:colOff>
      <xdr:row>0</xdr:row>
      <xdr:rowOff>93132</xdr:rowOff>
    </xdr:from>
    <xdr:to>
      <xdr:col>16</xdr:col>
      <xdr:colOff>4234</xdr:colOff>
      <xdr:row>0</xdr:row>
      <xdr:rowOff>1075265</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59701" y="93132"/>
          <a:ext cx="3218767" cy="9821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828903</xdr:colOff>
      <xdr:row>0</xdr:row>
      <xdr:rowOff>99060</xdr:rowOff>
    </xdr:from>
    <xdr:to>
      <xdr:col>7</xdr:col>
      <xdr:colOff>0</xdr:colOff>
      <xdr:row>0</xdr:row>
      <xdr:rowOff>1066800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28763" y="99060"/>
          <a:ext cx="3171597" cy="9677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388620</xdr:colOff>
      <xdr:row>0</xdr:row>
      <xdr:rowOff>106680</xdr:rowOff>
    </xdr:from>
    <xdr:to>
      <xdr:col>7</xdr:col>
      <xdr:colOff>868679</xdr:colOff>
      <xdr:row>0</xdr:row>
      <xdr:rowOff>992530</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5480" y="106680"/>
          <a:ext cx="2903219" cy="885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594360</xdr:colOff>
      <xdr:row>0</xdr:row>
      <xdr:rowOff>91440</xdr:rowOff>
    </xdr:from>
    <xdr:to>
      <xdr:col>14</xdr:col>
      <xdr:colOff>769619</xdr:colOff>
      <xdr:row>0</xdr:row>
      <xdr:rowOff>1121445</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00160" y="91440"/>
          <a:ext cx="3375659" cy="1030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fie2/Desktop/Financieel%20plan_DADASHI%20Maryam%20voorlopi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REDIETEN/1.%20Microkredieten/18.%20Intern/Work%20in%20progress/Financieel%20plan%20obv%20Qredits/Financieel%20plan%20IPK%20-%20ingevuld%20voorbeeld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VRAGENLIJST"/>
      <sheetName val="Investering &amp; Financiering"/>
      <sheetName val="Afschrijvingen"/>
      <sheetName val="Liquiditeit"/>
      <sheetName val="Exploitatie"/>
      <sheetName val="Maandlasten IPK"/>
      <sheetName val="Overzicht lijsten"/>
      <sheetName val="IB"/>
      <sheetName val="Gezinsbudget"/>
    </sheetNames>
    <sheetDataSet>
      <sheetData sheetId="0"/>
      <sheetData sheetId="1"/>
      <sheetData sheetId="2"/>
      <sheetData sheetId="3"/>
      <sheetData sheetId="4"/>
      <sheetData sheetId="5"/>
      <sheetData sheetId="6"/>
      <sheetData sheetId="7">
        <row r="2">
          <cell r="D2" t="str">
            <v>Heb ik reeds</v>
          </cell>
          <cell r="E2" t="str">
            <v>maand 1</v>
          </cell>
          <cell r="G2">
            <v>0</v>
          </cell>
          <cell r="J2">
            <v>1</v>
          </cell>
          <cell r="K2">
            <v>1</v>
          </cell>
        </row>
        <row r="3">
          <cell r="D3" t="str">
            <v>Nog te investeren</v>
          </cell>
          <cell r="E3" t="str">
            <v>maand 2</v>
          </cell>
          <cell r="G3">
            <v>0.06</v>
          </cell>
          <cell r="H3" t="str">
            <v>Direct</v>
          </cell>
          <cell r="J3">
            <v>2</v>
          </cell>
          <cell r="K3">
            <v>2</v>
          </cell>
        </row>
        <row r="4">
          <cell r="E4" t="str">
            <v>maand 3</v>
          </cell>
          <cell r="G4">
            <v>0.12</v>
          </cell>
          <cell r="H4" t="str">
            <v>Binnen 14 dagen</v>
          </cell>
          <cell r="J4">
            <v>3</v>
          </cell>
          <cell r="K4">
            <v>3</v>
          </cell>
        </row>
        <row r="5">
          <cell r="E5" t="str">
            <v>maand 4</v>
          </cell>
          <cell r="G5">
            <v>0.21</v>
          </cell>
          <cell r="H5" t="str">
            <v>Binnen 30 dagen</v>
          </cell>
          <cell r="J5">
            <v>4</v>
          </cell>
          <cell r="K5">
            <v>4</v>
          </cell>
        </row>
        <row r="6">
          <cell r="E6" t="str">
            <v>maand 5</v>
          </cell>
          <cell r="H6" t="str">
            <v>Binnen 60 dagen</v>
          </cell>
          <cell r="J6">
            <v>5</v>
          </cell>
          <cell r="K6">
            <v>5</v>
          </cell>
        </row>
        <row r="7">
          <cell r="E7" t="str">
            <v>maand 6</v>
          </cell>
          <cell r="H7" t="str">
            <v>Binnen 90 dagen</v>
          </cell>
          <cell r="K7">
            <v>6</v>
          </cell>
        </row>
        <row r="8">
          <cell r="E8" t="str">
            <v>maand 7</v>
          </cell>
        </row>
        <row r="9">
          <cell r="E9" t="str">
            <v>maand 8</v>
          </cell>
        </row>
        <row r="10">
          <cell r="E10" t="str">
            <v>maand 9</v>
          </cell>
        </row>
        <row r="11">
          <cell r="E11" t="str">
            <v>maand 10</v>
          </cell>
        </row>
        <row r="12">
          <cell r="E12" t="str">
            <v>maand 11</v>
          </cell>
        </row>
        <row r="13">
          <cell r="E13" t="str">
            <v>maand 12</v>
          </cell>
        </row>
        <row r="14">
          <cell r="E14" t="str">
            <v>vanaf maand 13</v>
          </cell>
        </row>
        <row r="18">
          <cell r="H18">
            <v>0.03</v>
          </cell>
        </row>
        <row r="19">
          <cell r="H19">
            <v>0.05</v>
          </cell>
        </row>
        <row r="20">
          <cell r="H20">
            <v>0.1</v>
          </cell>
        </row>
        <row r="21">
          <cell r="H21">
            <v>0.2</v>
          </cell>
        </row>
        <row r="22">
          <cell r="H22">
            <v>0.25</v>
          </cell>
        </row>
        <row r="23">
          <cell r="H23">
            <v>0.33</v>
          </cell>
        </row>
        <row r="24">
          <cell r="H24">
            <v>0.5</v>
          </cell>
        </row>
        <row r="25">
          <cell r="H25">
            <v>1</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AGENLIJST"/>
      <sheetName val="Investering &amp; Financiering"/>
      <sheetName val="Afschrijvingen"/>
      <sheetName val="Liquiditeit"/>
      <sheetName val="Exploitatie"/>
      <sheetName val="Maandlasten IPK"/>
      <sheetName val="Overzicht lijsten"/>
      <sheetName val="IB"/>
    </sheetNames>
    <sheetDataSet>
      <sheetData sheetId="0"/>
      <sheetData sheetId="1"/>
      <sheetData sheetId="2"/>
      <sheetData sheetId="3"/>
      <sheetData sheetId="4"/>
      <sheetData sheetId="5"/>
      <sheetData sheetId="6">
        <row r="2">
          <cell r="D2" t="str">
            <v>Heb ik reeds</v>
          </cell>
          <cell r="E2" t="str">
            <v>maand 1</v>
          </cell>
          <cell r="G2">
            <v>0</v>
          </cell>
          <cell r="J2">
            <v>1</v>
          </cell>
          <cell r="K2">
            <v>1</v>
          </cell>
        </row>
        <row r="3">
          <cell r="D3" t="str">
            <v>Nog te investeren</v>
          </cell>
          <cell r="E3" t="str">
            <v>maand 2</v>
          </cell>
          <cell r="G3">
            <v>0.06</v>
          </cell>
          <cell r="H3" t="str">
            <v>Direct</v>
          </cell>
          <cell r="J3">
            <v>2</v>
          </cell>
          <cell r="K3">
            <v>2</v>
          </cell>
        </row>
        <row r="4">
          <cell r="E4" t="str">
            <v>maand 3</v>
          </cell>
          <cell r="G4">
            <v>0.12</v>
          </cell>
          <cell r="H4" t="str">
            <v>Binnen 14 dagen</v>
          </cell>
          <cell r="J4">
            <v>3</v>
          </cell>
          <cell r="K4">
            <v>3</v>
          </cell>
        </row>
        <row r="5">
          <cell r="E5" t="str">
            <v>maand 4</v>
          </cell>
          <cell r="G5">
            <v>0.21</v>
          </cell>
          <cell r="H5" t="str">
            <v>Binnen 30 dagen</v>
          </cell>
          <cell r="J5">
            <v>4</v>
          </cell>
          <cell r="K5">
            <v>4</v>
          </cell>
        </row>
        <row r="6">
          <cell r="E6" t="str">
            <v>maand 5</v>
          </cell>
          <cell r="H6" t="str">
            <v>Binnen 60 dagen</v>
          </cell>
          <cell r="J6">
            <v>5</v>
          </cell>
          <cell r="K6">
            <v>5</v>
          </cell>
        </row>
        <row r="7">
          <cell r="E7" t="str">
            <v>maand 6</v>
          </cell>
          <cell r="H7" t="str">
            <v>Binnen 90 dagen</v>
          </cell>
          <cell r="K7">
            <v>6</v>
          </cell>
        </row>
        <row r="8">
          <cell r="E8" t="str">
            <v>maand 7</v>
          </cell>
        </row>
        <row r="9">
          <cell r="E9" t="str">
            <v>maand 8</v>
          </cell>
        </row>
        <row r="10">
          <cell r="E10" t="str">
            <v>maand 9</v>
          </cell>
        </row>
        <row r="11">
          <cell r="E11" t="str">
            <v>maand 10</v>
          </cell>
        </row>
        <row r="12">
          <cell r="E12" t="str">
            <v>maand 11</v>
          </cell>
        </row>
        <row r="13">
          <cell r="E13" t="str">
            <v>maand 12</v>
          </cell>
        </row>
        <row r="14">
          <cell r="E14" t="str">
            <v>vanaf maand 13</v>
          </cell>
        </row>
      </sheetData>
      <sheetData sheetId="7"/>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N61"/>
  <sheetViews>
    <sheetView zoomScaleNormal="100" zoomScaleSheetLayoutView="100" workbookViewId="0">
      <selection activeCell="B2" sqref="B2"/>
    </sheetView>
  </sheetViews>
  <sheetFormatPr defaultRowHeight="15" x14ac:dyDescent="0.25"/>
  <cols>
    <col min="1" max="1" width="1.28515625" customWidth="1"/>
    <col min="2" max="2" width="116.28515625" customWidth="1"/>
    <col min="3" max="3" width="2.85546875" customWidth="1"/>
  </cols>
  <sheetData>
    <row r="1" spans="2:14" ht="91.9" customHeight="1" x14ac:dyDescent="0.3">
      <c r="B1" s="7" t="s">
        <v>301</v>
      </c>
      <c r="F1" s="9"/>
      <c r="H1" s="17"/>
      <c r="I1" s="17"/>
      <c r="J1" s="17"/>
      <c r="K1" s="17"/>
      <c r="L1" s="17"/>
      <c r="M1" s="17"/>
      <c r="N1" s="17"/>
    </row>
    <row r="3" spans="2:14" ht="28.9" x14ac:dyDescent="0.3">
      <c r="B3" s="148" t="s">
        <v>302</v>
      </c>
    </row>
    <row r="5" spans="2:14" ht="23.45" x14ac:dyDescent="0.45">
      <c r="B5" s="147" t="s">
        <v>303</v>
      </c>
    </row>
    <row r="6" spans="2:14" ht="28.9" x14ac:dyDescent="0.3">
      <c r="B6" s="123" t="s">
        <v>304</v>
      </c>
    </row>
    <row r="7" spans="2:14" ht="14.45" x14ac:dyDescent="0.3">
      <c r="B7" s="146" t="s">
        <v>305</v>
      </c>
    </row>
    <row r="8" spans="2:14" ht="14.45" x14ac:dyDescent="0.3">
      <c r="B8" s="146" t="s">
        <v>306</v>
      </c>
    </row>
    <row r="9" spans="2:14" ht="14.45" x14ac:dyDescent="0.3">
      <c r="B9" s="146" t="s">
        <v>307</v>
      </c>
    </row>
    <row r="10" spans="2:14" ht="14.45" x14ac:dyDescent="0.3">
      <c r="B10" s="146" t="s">
        <v>308</v>
      </c>
    </row>
    <row r="12" spans="2:14" ht="23.45" x14ac:dyDescent="0.45">
      <c r="B12" s="147" t="s">
        <v>309</v>
      </c>
    </row>
    <row r="13" spans="2:14" s="149" customFormat="1" ht="14.45" x14ac:dyDescent="0.3">
      <c r="B13" s="149" t="s">
        <v>345</v>
      </c>
    </row>
    <row r="14" spans="2:14" s="149" customFormat="1" ht="14.45" x14ac:dyDescent="0.3">
      <c r="B14" s="149" t="s">
        <v>310</v>
      </c>
    </row>
    <row r="15" spans="2:14" s="149" customFormat="1" ht="14.45" x14ac:dyDescent="0.3">
      <c r="B15" s="149" t="s">
        <v>311</v>
      </c>
    </row>
    <row r="16" spans="2:14" s="149" customFormat="1" x14ac:dyDescent="0.25">
      <c r="B16" s="149" t="s">
        <v>312</v>
      </c>
    </row>
    <row r="17" spans="2:2" s="149" customFormat="1" x14ac:dyDescent="0.25">
      <c r="B17" s="149" t="s">
        <v>313</v>
      </c>
    </row>
    <row r="18" spans="2:2" s="149" customFormat="1" x14ac:dyDescent="0.25">
      <c r="B18" s="149" t="s">
        <v>314</v>
      </c>
    </row>
    <row r="19" spans="2:2" s="149" customFormat="1" x14ac:dyDescent="0.25">
      <c r="B19" s="149" t="s">
        <v>315</v>
      </c>
    </row>
    <row r="20" spans="2:2" s="149" customFormat="1" x14ac:dyDescent="0.25">
      <c r="B20" s="149" t="s">
        <v>316</v>
      </c>
    </row>
    <row r="21" spans="2:2" s="149" customFormat="1" x14ac:dyDescent="0.25"/>
    <row r="22" spans="2:2" x14ac:dyDescent="0.25">
      <c r="B22" s="146" t="s">
        <v>317</v>
      </c>
    </row>
    <row r="30" spans="2:2" x14ac:dyDescent="0.25">
      <c r="B30" s="146" t="s">
        <v>318</v>
      </c>
    </row>
    <row r="39" spans="2:2" ht="51.75" x14ac:dyDescent="0.25">
      <c r="B39" s="150" t="s">
        <v>319</v>
      </c>
    </row>
    <row r="41" spans="2:2" ht="23.25" x14ac:dyDescent="0.35">
      <c r="B41" s="147" t="s">
        <v>320</v>
      </c>
    </row>
    <row r="42" spans="2:2" x14ac:dyDescent="0.25">
      <c r="B42" t="s">
        <v>321</v>
      </c>
    </row>
    <row r="59" spans="2:2" ht="48" x14ac:dyDescent="0.25">
      <c r="B59" s="151" t="s">
        <v>322</v>
      </c>
    </row>
    <row r="61" spans="2:2" x14ac:dyDescent="0.25">
      <c r="B61" s="152" t="s">
        <v>323</v>
      </c>
    </row>
  </sheetData>
  <sheetProtection password="DEA6" sheet="1" objects="1" scenarios="1"/>
  <pageMargins left="0.25" right="0.25" top="0.75" bottom="0.75" header="0.3" footer="0.3"/>
  <pageSetup paperSize="9" scale="82" orientation="portrait" r:id="rId1"/>
  <rowBreaks count="1" manualBreakCount="1">
    <brk id="40" max="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21" sqref="B21"/>
    </sheetView>
  </sheetViews>
  <sheetFormatPr defaultRowHeight="15" x14ac:dyDescent="0.25"/>
  <cols>
    <col min="1" max="1" width="22" customWidth="1"/>
    <col min="2" max="2" width="12.28515625" bestFit="1" customWidth="1"/>
    <col min="3" max="3" width="10.5703125" bestFit="1" customWidth="1"/>
  </cols>
  <sheetData>
    <row r="1" spans="1:7" ht="33.6" x14ac:dyDescent="0.3">
      <c r="A1" s="7" t="s">
        <v>245</v>
      </c>
    </row>
    <row r="2" spans="1:7" ht="14.45" x14ac:dyDescent="0.3">
      <c r="A2" t="s">
        <v>246</v>
      </c>
      <c r="B2" s="88">
        <v>41928</v>
      </c>
    </row>
    <row r="3" spans="1:7" thickBot="1" x14ac:dyDescent="0.35"/>
    <row r="4" spans="1:7" thickTop="1" x14ac:dyDescent="0.3">
      <c r="A4" s="101" t="s">
        <v>248</v>
      </c>
      <c r="B4" s="99"/>
    </row>
    <row r="5" spans="1:7" ht="14.45" x14ac:dyDescent="0.3">
      <c r="A5" s="70" t="s">
        <v>218</v>
      </c>
      <c r="B5" s="113">
        <f>Exploitatie!C22</f>
        <v>0</v>
      </c>
    </row>
    <row r="6" spans="1:7" ht="14.45" x14ac:dyDescent="0.3">
      <c r="A6" s="110" t="s">
        <v>254</v>
      </c>
      <c r="B6" s="111">
        <f>VRAGENLIJST!$F$14</f>
        <v>0</v>
      </c>
    </row>
    <row r="7" spans="1:7" thickBot="1" x14ac:dyDescent="0.35">
      <c r="A7" s="94" t="s">
        <v>247</v>
      </c>
      <c r="B7" s="122">
        <f>SUM(D17:D22)</f>
        <v>0</v>
      </c>
    </row>
    <row r="8" spans="1:7" ht="15.6" thickTop="1" thickBot="1" x14ac:dyDescent="0.35"/>
    <row r="9" spans="1:7" thickTop="1" x14ac:dyDescent="0.3">
      <c r="A9" s="90" t="s">
        <v>249</v>
      </c>
      <c r="B9" s="91"/>
      <c r="C9" s="97"/>
      <c r="D9" s="98"/>
      <c r="E9" s="98"/>
      <c r="F9" s="98"/>
      <c r="G9" s="99"/>
    </row>
    <row r="10" spans="1:7" ht="14.45" x14ac:dyDescent="0.3">
      <c r="A10" s="70" t="s">
        <v>250</v>
      </c>
      <c r="B10" s="92">
        <v>0</v>
      </c>
      <c r="C10" s="92">
        <v>0.25</v>
      </c>
      <c r="D10" s="92">
        <v>0.3</v>
      </c>
      <c r="E10" s="92">
        <v>0.4</v>
      </c>
      <c r="F10" s="92">
        <v>0.45</v>
      </c>
      <c r="G10" s="93">
        <v>0.5</v>
      </c>
    </row>
    <row r="11" spans="1:7" thickBot="1" x14ac:dyDescent="0.35">
      <c r="A11" s="94" t="s">
        <v>251</v>
      </c>
      <c r="B11" s="95">
        <v>6990</v>
      </c>
      <c r="C11" s="95">
        <v>8590</v>
      </c>
      <c r="D11" s="95">
        <v>12220</v>
      </c>
      <c r="E11" s="95">
        <v>20370</v>
      </c>
      <c r="F11" s="95">
        <v>37330</v>
      </c>
      <c r="G11" s="96"/>
    </row>
    <row r="12" spans="1:7" ht="15.6" thickTop="1" thickBot="1" x14ac:dyDescent="0.35">
      <c r="A12" s="42"/>
      <c r="B12" s="102"/>
      <c r="C12" s="102"/>
      <c r="D12" s="102"/>
      <c r="E12" s="102"/>
      <c r="F12" s="102"/>
      <c r="G12" s="42"/>
    </row>
    <row r="13" spans="1:7" thickTop="1" x14ac:dyDescent="0.3">
      <c r="A13" s="104" t="s">
        <v>252</v>
      </c>
      <c r="B13" s="105">
        <v>0</v>
      </c>
      <c r="C13" s="105">
        <v>1</v>
      </c>
      <c r="D13" s="105">
        <v>2</v>
      </c>
      <c r="E13" s="105">
        <v>3</v>
      </c>
      <c r="F13" s="105">
        <v>4</v>
      </c>
      <c r="G13" s="100">
        <v>5</v>
      </c>
    </row>
    <row r="14" spans="1:7" ht="29.45" thickBot="1" x14ac:dyDescent="0.35">
      <c r="A14" s="106" t="s">
        <v>253</v>
      </c>
      <c r="B14" s="107"/>
      <c r="C14" s="108">
        <v>1490</v>
      </c>
      <c r="D14" s="108">
        <v>3820</v>
      </c>
      <c r="E14" s="108">
        <v>8570</v>
      </c>
      <c r="F14" s="108">
        <v>13860</v>
      </c>
      <c r="G14" s="109">
        <f>13860+5298</f>
        <v>19158</v>
      </c>
    </row>
    <row r="15" spans="1:7" thickTop="1" x14ac:dyDescent="0.3">
      <c r="A15" s="103"/>
      <c r="B15" s="102"/>
      <c r="C15" s="112"/>
      <c r="D15" s="112"/>
      <c r="E15" s="112"/>
      <c r="F15" s="112"/>
      <c r="G15" s="112"/>
    </row>
    <row r="16" spans="1:7" thickBot="1" x14ac:dyDescent="0.35">
      <c r="A16" s="15"/>
    </row>
    <row r="17" spans="1:7" thickTop="1" x14ac:dyDescent="0.3">
      <c r="A17" s="114">
        <f>(VLOOKUP($B$6,'Overzicht lijsten'!$D$17:$E$23,2,FALSE))+B11</f>
        <v>6990</v>
      </c>
      <c r="B17" s="115">
        <f>A17</f>
        <v>6990</v>
      </c>
      <c r="C17" s="116">
        <v>0</v>
      </c>
      <c r="D17" s="100">
        <f>A17*C17</f>
        <v>0</v>
      </c>
    </row>
    <row r="18" spans="1:7" ht="14.45" x14ac:dyDescent="0.3">
      <c r="A18" s="114">
        <f>C11</f>
        <v>8590</v>
      </c>
      <c r="B18" s="117">
        <f>IF($A$22&lt;A18,$A$22,A18)</f>
        <v>0</v>
      </c>
      <c r="C18" s="92">
        <v>0.25</v>
      </c>
      <c r="D18" s="118">
        <f>IF(B18&lt;B17,0,(B18-B17)*C18)</f>
        <v>0</v>
      </c>
    </row>
    <row r="19" spans="1:7" ht="14.45" x14ac:dyDescent="0.3">
      <c r="A19" s="114">
        <f>D11</f>
        <v>12220</v>
      </c>
      <c r="B19" s="117">
        <f>IF($A$22&lt;A19,$A$22,A19)</f>
        <v>0</v>
      </c>
      <c r="C19" s="92">
        <v>0.3</v>
      </c>
      <c r="D19" s="118">
        <f>IF(B19&lt;$B$17,0,IF($B$17&gt;B18,(B19-$B$17)*C19,(B19-B18)*C19))</f>
        <v>0</v>
      </c>
      <c r="F19" s="15"/>
      <c r="G19" s="15"/>
    </row>
    <row r="20" spans="1:7" ht="14.45" x14ac:dyDescent="0.3">
      <c r="A20" s="114">
        <f>E11</f>
        <v>20370</v>
      </c>
      <c r="B20" s="117">
        <f>IF($A$22&lt;A20,$A$22,A20)</f>
        <v>0</v>
      </c>
      <c r="C20" s="92">
        <v>0.4</v>
      </c>
      <c r="D20" s="118">
        <f t="shared" ref="D20:D22" si="0">IF(B20&lt;$B$17,0,IF($B$17&gt;B19,(B20-$B$17)*C20,(B20-B19)*C20))</f>
        <v>0</v>
      </c>
      <c r="F20" s="89"/>
      <c r="G20" s="89"/>
    </row>
    <row r="21" spans="1:7" ht="14.45" x14ac:dyDescent="0.3">
      <c r="A21" s="114">
        <f>F11</f>
        <v>37330</v>
      </c>
      <c r="B21" s="117">
        <f>IF($A$22&lt;A21,$A$22,A21)</f>
        <v>0</v>
      </c>
      <c r="C21" s="92">
        <v>0.45</v>
      </c>
      <c r="D21" s="118">
        <f t="shared" si="0"/>
        <v>0</v>
      </c>
      <c r="F21" s="89"/>
      <c r="G21" s="89"/>
    </row>
    <row r="22" spans="1:7" thickBot="1" x14ac:dyDescent="0.35">
      <c r="A22" s="114">
        <f>B5</f>
        <v>0</v>
      </c>
      <c r="B22" s="119">
        <f>IF($A$22&lt;A22,$A$22,A22)</f>
        <v>0</v>
      </c>
      <c r="C22" s="120">
        <v>0.5</v>
      </c>
      <c r="D22" s="121">
        <f t="shared" si="0"/>
        <v>0</v>
      </c>
    </row>
    <row r="23" spans="1:7" ht="15.75" thickTop="1"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8" tint="-0.249977111117893"/>
  </sheetPr>
  <dimension ref="A1:N248"/>
  <sheetViews>
    <sheetView topLeftCell="A109" zoomScaleNormal="100" zoomScaleSheetLayoutView="70" workbookViewId="0">
      <selection activeCell="F156" sqref="F156"/>
    </sheetView>
  </sheetViews>
  <sheetFormatPr defaultRowHeight="15" x14ac:dyDescent="0.25"/>
  <cols>
    <col min="1" max="1" width="3.28515625" customWidth="1"/>
    <col min="2" max="2" width="54.28515625" customWidth="1"/>
    <col min="3" max="3" width="9.7109375" customWidth="1"/>
    <col min="4" max="4" width="16.7109375" bestFit="1" customWidth="1"/>
    <col min="5" max="5" width="13.28515625" customWidth="1"/>
    <col min="6" max="6" width="15.5703125" style="9" bestFit="1" customWidth="1"/>
    <col min="7" max="7" width="5.28515625" customWidth="1"/>
    <col min="8" max="14" width="8.85546875" style="5"/>
  </cols>
  <sheetData>
    <row r="1" spans="1:6" ht="91.9" customHeight="1" x14ac:dyDescent="0.3">
      <c r="A1" s="7" t="s">
        <v>0</v>
      </c>
    </row>
    <row r="2" spans="1:6" ht="14.45" x14ac:dyDescent="0.3">
      <c r="A2" s="1"/>
    </row>
    <row r="3" spans="1:6" ht="16.5" thickBot="1" x14ac:dyDescent="0.3">
      <c r="B3" s="6" t="s">
        <v>1</v>
      </c>
      <c r="C3" s="2"/>
      <c r="F3" s="4" t="s">
        <v>10</v>
      </c>
    </row>
    <row r="4" spans="1:6" ht="15.6" thickTop="1" thickBot="1" x14ac:dyDescent="0.35">
      <c r="A4" t="s">
        <v>2</v>
      </c>
      <c r="B4" t="s">
        <v>290</v>
      </c>
      <c r="E4" s="3" t="s">
        <v>9</v>
      </c>
      <c r="F4" s="153"/>
    </row>
    <row r="5" spans="1:6" ht="7.9" customHeight="1" thickTop="1" thickBot="1" x14ac:dyDescent="0.35">
      <c r="E5" s="3"/>
      <c r="F5" s="10"/>
    </row>
    <row r="6" spans="1:6" ht="15.6" thickTop="1" thickBot="1" x14ac:dyDescent="0.35">
      <c r="A6" t="s">
        <v>3</v>
      </c>
      <c r="B6" t="s">
        <v>4</v>
      </c>
      <c r="E6" s="3" t="s">
        <v>12</v>
      </c>
      <c r="F6" s="154"/>
    </row>
    <row r="7" spans="1:6" ht="7.9" customHeight="1" thickTop="1" thickBot="1" x14ac:dyDescent="0.35">
      <c r="F7" s="11"/>
    </row>
    <row r="8" spans="1:6" ht="15.6" thickTop="1" thickBot="1" x14ac:dyDescent="0.35">
      <c r="A8" t="s">
        <v>5</v>
      </c>
      <c r="B8" t="s">
        <v>6</v>
      </c>
      <c r="E8" s="3" t="s">
        <v>9</v>
      </c>
      <c r="F8" s="153"/>
    </row>
    <row r="9" spans="1:6" ht="7.9" customHeight="1" thickTop="1" thickBot="1" x14ac:dyDescent="0.35">
      <c r="F9" s="11"/>
    </row>
    <row r="10" spans="1:6" ht="15.6" thickTop="1" thickBot="1" x14ac:dyDescent="0.35">
      <c r="A10" t="s">
        <v>256</v>
      </c>
      <c r="B10" t="s">
        <v>287</v>
      </c>
      <c r="E10" s="3" t="s">
        <v>12</v>
      </c>
      <c r="F10" s="154"/>
    </row>
    <row r="11" spans="1:6" ht="7.9" customHeight="1" thickTop="1" thickBot="1" x14ac:dyDescent="0.35">
      <c r="F11" s="11"/>
    </row>
    <row r="12" spans="1:6" ht="29.45" customHeight="1" thickTop="1" thickBot="1" x14ac:dyDescent="0.3">
      <c r="A12" s="124" t="s">
        <v>276</v>
      </c>
      <c r="B12" s="123" t="s">
        <v>280</v>
      </c>
      <c r="E12" s="125" t="s">
        <v>9</v>
      </c>
      <c r="F12" s="155"/>
    </row>
    <row r="13" spans="1:6" ht="7.9" customHeight="1" thickTop="1" thickBot="1" x14ac:dyDescent="0.35">
      <c r="F13" s="11"/>
    </row>
    <row r="14" spans="1:6" ht="15.6" thickTop="1" thickBot="1" x14ac:dyDescent="0.35">
      <c r="A14" t="s">
        <v>8</v>
      </c>
      <c r="B14" t="s">
        <v>7</v>
      </c>
      <c r="E14" s="3" t="s">
        <v>11</v>
      </c>
      <c r="F14" s="154"/>
    </row>
    <row r="15" spans="1:6" ht="7.9" customHeight="1" thickTop="1" thickBot="1" x14ac:dyDescent="0.35">
      <c r="F15" s="11"/>
    </row>
    <row r="16" spans="1:6" ht="16.5" thickTop="1" thickBot="1" x14ac:dyDescent="0.3">
      <c r="A16" t="s">
        <v>13</v>
      </c>
      <c r="B16" t="s">
        <v>289</v>
      </c>
      <c r="E16" s="3" t="s">
        <v>9</v>
      </c>
      <c r="F16" s="153"/>
    </row>
    <row r="17" spans="1:6" ht="7.9" customHeight="1" thickTop="1" thickBot="1" x14ac:dyDescent="0.35">
      <c r="F17" s="11"/>
    </row>
    <row r="18" spans="1:6" ht="15.6" thickTop="1" thickBot="1" x14ac:dyDescent="0.35">
      <c r="A18" t="s">
        <v>14</v>
      </c>
      <c r="B18" t="s">
        <v>281</v>
      </c>
      <c r="E18" s="3" t="s">
        <v>12</v>
      </c>
      <c r="F18" s="154"/>
    </row>
    <row r="19" spans="1:6" ht="7.9" customHeight="1" thickTop="1" thickBot="1" x14ac:dyDescent="0.35">
      <c r="F19" s="11"/>
    </row>
    <row r="20" spans="1:6" ht="15.6" thickTop="1" thickBot="1" x14ac:dyDescent="0.35">
      <c r="A20" t="s">
        <v>277</v>
      </c>
      <c r="B20" t="s">
        <v>346</v>
      </c>
      <c r="E20" s="3" t="s">
        <v>9</v>
      </c>
      <c r="F20" s="153"/>
    </row>
    <row r="21" spans="1:6" ht="7.9" customHeight="1" thickTop="1" thickBot="1" x14ac:dyDescent="0.35">
      <c r="F21" s="11"/>
    </row>
    <row r="22" spans="1:6" ht="15.6" thickTop="1" thickBot="1" x14ac:dyDescent="0.35">
      <c r="A22" t="s">
        <v>42</v>
      </c>
      <c r="B22" t="s">
        <v>347</v>
      </c>
      <c r="E22" s="3" t="s">
        <v>9</v>
      </c>
      <c r="F22" s="153"/>
    </row>
    <row r="23" spans="1:6" ht="15.75" thickTop="1" x14ac:dyDescent="0.25">
      <c r="B23" s="2"/>
      <c r="C23" s="2"/>
      <c r="D23" s="2"/>
      <c r="E23" s="2"/>
      <c r="F23" s="14"/>
    </row>
    <row r="24" spans="1:6" ht="15.75" thickBot="1" x14ac:dyDescent="0.3"/>
    <row r="25" spans="1:6" ht="16.5" thickTop="1" thickBot="1" x14ac:dyDescent="0.3">
      <c r="B25" t="s">
        <v>26</v>
      </c>
      <c r="E25" s="3" t="s">
        <v>28</v>
      </c>
      <c r="F25" s="12">
        <f>F4+F8+F16+F20</f>
        <v>0</v>
      </c>
    </row>
    <row r="26" spans="1:6" ht="7.9" customHeight="1" thickTop="1" thickBot="1" x14ac:dyDescent="0.3"/>
    <row r="27" spans="1:6" ht="16.5" thickTop="1" thickBot="1" x14ac:dyDescent="0.3">
      <c r="B27" t="s">
        <v>27</v>
      </c>
      <c r="E27" s="3" t="s">
        <v>28</v>
      </c>
      <c r="F27" s="12">
        <f>IF(F6="stopt",0,F4)+ IF(F10="loopt door",F8,0)+F16+F22+F12</f>
        <v>0</v>
      </c>
    </row>
    <row r="28" spans="1:6" ht="15.75" thickTop="1" x14ac:dyDescent="0.25">
      <c r="B28" s="13"/>
      <c r="C28" s="13"/>
      <c r="D28" s="13"/>
      <c r="E28" s="13"/>
      <c r="F28" s="126"/>
    </row>
    <row r="29" spans="1:6" ht="18" customHeight="1" x14ac:dyDescent="0.25"/>
    <row r="30" spans="1:6" ht="15.75" x14ac:dyDescent="0.25">
      <c r="B30" s="6" t="s">
        <v>29</v>
      </c>
    </row>
    <row r="31" spans="1:6" ht="15.75" thickBot="1" x14ac:dyDescent="0.3">
      <c r="A31" t="s">
        <v>44</v>
      </c>
      <c r="B31" t="s">
        <v>30</v>
      </c>
      <c r="F31" s="4" t="s">
        <v>10</v>
      </c>
    </row>
    <row r="32" spans="1:6" ht="16.5" thickTop="1" thickBot="1" x14ac:dyDescent="0.3">
      <c r="B32" t="s">
        <v>31</v>
      </c>
      <c r="E32" s="3" t="s">
        <v>9</v>
      </c>
      <c r="F32" s="153"/>
    </row>
    <row r="33" spans="2:6" ht="7.9" customHeight="1" thickTop="1" thickBot="1" x14ac:dyDescent="0.3"/>
    <row r="34" spans="2:6" ht="16.5" thickTop="1" thickBot="1" x14ac:dyDescent="0.3">
      <c r="B34" t="s">
        <v>32</v>
      </c>
      <c r="E34" s="3" t="s">
        <v>9</v>
      </c>
      <c r="F34" s="153"/>
    </row>
    <row r="35" spans="2:6" ht="7.9" customHeight="1" thickTop="1" thickBot="1" x14ac:dyDescent="0.3"/>
    <row r="36" spans="2:6" ht="16.5" thickTop="1" thickBot="1" x14ac:dyDescent="0.3">
      <c r="B36" t="s">
        <v>33</v>
      </c>
      <c r="E36" s="3" t="s">
        <v>9</v>
      </c>
      <c r="F36" s="153"/>
    </row>
    <row r="37" spans="2:6" ht="7.9" customHeight="1" thickTop="1" thickBot="1" x14ac:dyDescent="0.3"/>
    <row r="38" spans="2:6" ht="16.5" thickTop="1" thickBot="1" x14ac:dyDescent="0.3">
      <c r="B38" t="s">
        <v>34</v>
      </c>
      <c r="E38" s="3" t="s">
        <v>9</v>
      </c>
      <c r="F38" s="153"/>
    </row>
    <row r="39" spans="2:6" ht="7.9" customHeight="1" thickTop="1" thickBot="1" x14ac:dyDescent="0.3"/>
    <row r="40" spans="2:6" ht="16.5" thickTop="1" thickBot="1" x14ac:dyDescent="0.3">
      <c r="B40" t="s">
        <v>35</v>
      </c>
      <c r="E40" s="3" t="s">
        <v>9</v>
      </c>
      <c r="F40" s="153"/>
    </row>
    <row r="41" spans="2:6" ht="7.9" customHeight="1" thickTop="1" thickBot="1" x14ac:dyDescent="0.3"/>
    <row r="42" spans="2:6" ht="16.5" thickTop="1" thickBot="1" x14ac:dyDescent="0.3">
      <c r="B42" t="s">
        <v>36</v>
      </c>
      <c r="E42" s="3" t="s">
        <v>9</v>
      </c>
      <c r="F42" s="153"/>
    </row>
    <row r="43" spans="2:6" ht="7.9" customHeight="1" thickTop="1" thickBot="1" x14ac:dyDescent="0.3"/>
    <row r="44" spans="2:6" ht="16.5" thickTop="1" thickBot="1" x14ac:dyDescent="0.3">
      <c r="B44" t="s">
        <v>283</v>
      </c>
      <c r="E44" s="3" t="s">
        <v>9</v>
      </c>
      <c r="F44" s="153"/>
    </row>
    <row r="45" spans="2:6" ht="7.9" customHeight="1" thickTop="1" thickBot="1" x14ac:dyDescent="0.3"/>
    <row r="46" spans="2:6" ht="16.5" thickTop="1" thickBot="1" x14ac:dyDescent="0.3">
      <c r="B46" t="s">
        <v>282</v>
      </c>
      <c r="E46" s="3" t="s">
        <v>9</v>
      </c>
      <c r="F46" s="153"/>
    </row>
    <row r="47" spans="2:6" ht="7.9" customHeight="1" thickTop="1" thickBot="1" x14ac:dyDescent="0.3"/>
    <row r="48" spans="2:6" ht="16.5" thickTop="1" thickBot="1" x14ac:dyDescent="0.3">
      <c r="B48" t="s">
        <v>37</v>
      </c>
      <c r="E48" s="3" t="s">
        <v>9</v>
      </c>
      <c r="F48" s="153"/>
    </row>
    <row r="49" spans="1:6" ht="7.9" customHeight="1" thickTop="1" thickBot="1" x14ac:dyDescent="0.3"/>
    <row r="50" spans="1:6" ht="16.5" thickTop="1" thickBot="1" x14ac:dyDescent="0.3">
      <c r="B50" t="s">
        <v>284</v>
      </c>
      <c r="E50" s="3" t="s">
        <v>9</v>
      </c>
      <c r="F50" s="153"/>
    </row>
    <row r="51" spans="1:6" ht="7.9" customHeight="1" thickTop="1" thickBot="1" x14ac:dyDescent="0.3"/>
    <row r="52" spans="1:6" ht="16.5" thickTop="1" thickBot="1" x14ac:dyDescent="0.3">
      <c r="B52" t="s">
        <v>38</v>
      </c>
      <c r="E52" s="3" t="s">
        <v>9</v>
      </c>
      <c r="F52" s="153"/>
    </row>
    <row r="53" spans="1:6" ht="15.75" thickTop="1" x14ac:dyDescent="0.25">
      <c r="B53" s="2"/>
      <c r="C53" s="2"/>
      <c r="D53" s="2"/>
      <c r="E53" s="2"/>
      <c r="F53" s="14"/>
    </row>
    <row r="54" spans="1:6" ht="15.75" thickBot="1" x14ac:dyDescent="0.3"/>
    <row r="55" spans="1:6" ht="16.5" thickTop="1" thickBot="1" x14ac:dyDescent="0.3">
      <c r="B55" t="s">
        <v>258</v>
      </c>
      <c r="E55" s="3" t="s">
        <v>28</v>
      </c>
      <c r="F55" s="12">
        <f>SUM(F32:F52)</f>
        <v>0</v>
      </c>
    </row>
    <row r="56" spans="1:6" ht="7.9" customHeight="1" thickTop="1" thickBot="1" x14ac:dyDescent="0.3"/>
    <row r="57" spans="1:6" ht="16.5" thickTop="1" thickBot="1" x14ac:dyDescent="0.3">
      <c r="B57" t="s">
        <v>39</v>
      </c>
      <c r="E57" s="3" t="s">
        <v>28</v>
      </c>
      <c r="F57" s="12">
        <f>F25-SUM(F32:F52)</f>
        <v>0</v>
      </c>
    </row>
    <row r="58" spans="1:6" ht="7.9" customHeight="1" thickTop="1" thickBot="1" x14ac:dyDescent="0.3"/>
    <row r="59" spans="1:6" ht="16.5" thickTop="1" thickBot="1" x14ac:dyDescent="0.3">
      <c r="B59" t="s">
        <v>40</v>
      </c>
      <c r="E59" s="3" t="s">
        <v>28</v>
      </c>
      <c r="F59" s="12">
        <f>IF(SUM(F32:F52)-F27&lt;0,0,SUM(F32:F52)-F27)</f>
        <v>0</v>
      </c>
    </row>
    <row r="60" spans="1:6" ht="15.75" thickTop="1" x14ac:dyDescent="0.25">
      <c r="B60" s="2"/>
      <c r="C60" s="2"/>
      <c r="D60" s="2"/>
      <c r="E60" s="2"/>
      <c r="F60" s="143">
        <f>IF(SUM($F$32:$F$52)-F27+IF('Overzicht lijsten'!$B$21&gt;0,F4,0)&lt;0,0,SUM(VRAGENLIJST!$F$32:$F$52)-F27+IF('Overzicht lijsten'!$B$21&gt;0,F4,0))</f>
        <v>0</v>
      </c>
    </row>
    <row r="61" spans="1:6" ht="18" customHeight="1" x14ac:dyDescent="0.25"/>
    <row r="62" spans="1:6" ht="16.5" thickBot="1" x14ac:dyDescent="0.3">
      <c r="B62" s="6" t="s">
        <v>41</v>
      </c>
      <c r="C62" s="2"/>
      <c r="F62" s="4" t="s">
        <v>10</v>
      </c>
    </row>
    <row r="63" spans="1:6" ht="16.5" thickTop="1" thickBot="1" x14ac:dyDescent="0.3">
      <c r="A63" t="s">
        <v>46</v>
      </c>
      <c r="B63" t="s">
        <v>43</v>
      </c>
      <c r="E63" s="3" t="s">
        <v>12</v>
      </c>
      <c r="F63" s="154"/>
    </row>
    <row r="64" spans="1:6" ht="7.9" customHeight="1" thickTop="1" thickBot="1" x14ac:dyDescent="0.3"/>
    <row r="65" spans="1:6" ht="16.5" thickTop="1" thickBot="1" x14ac:dyDescent="0.3">
      <c r="A65" t="s">
        <v>48</v>
      </c>
      <c r="B65" t="s">
        <v>45</v>
      </c>
      <c r="E65" s="3" t="s">
        <v>9</v>
      </c>
      <c r="F65" s="153"/>
    </row>
    <row r="66" spans="1:6" ht="7.9" customHeight="1" thickTop="1" thickBot="1" x14ac:dyDescent="0.3"/>
    <row r="67" spans="1:6" ht="16.5" thickTop="1" thickBot="1" x14ac:dyDescent="0.3">
      <c r="A67" t="s">
        <v>50</v>
      </c>
      <c r="B67" t="s">
        <v>47</v>
      </c>
      <c r="E67" s="3" t="s">
        <v>58</v>
      </c>
      <c r="F67" s="156"/>
    </row>
    <row r="68" spans="1:6" ht="7.9" customHeight="1" thickTop="1" thickBot="1" x14ac:dyDescent="0.3"/>
    <row r="69" spans="1:6" ht="16.5" thickTop="1" thickBot="1" x14ac:dyDescent="0.3">
      <c r="A69" t="s">
        <v>52</v>
      </c>
      <c r="B69" t="s">
        <v>49</v>
      </c>
      <c r="E69" s="3" t="s">
        <v>9</v>
      </c>
      <c r="F69" s="153"/>
    </row>
    <row r="70" spans="1:6" ht="7.9" customHeight="1" thickTop="1" thickBot="1" x14ac:dyDescent="0.3"/>
    <row r="71" spans="1:6" ht="16.5" thickTop="1" thickBot="1" x14ac:dyDescent="0.3">
      <c r="A71" t="s">
        <v>54</v>
      </c>
      <c r="B71" t="s">
        <v>51</v>
      </c>
      <c r="E71" s="3" t="s">
        <v>9</v>
      </c>
      <c r="F71" s="153"/>
    </row>
    <row r="72" spans="1:6" ht="7.9" customHeight="1" thickTop="1" thickBot="1" x14ac:dyDescent="0.3"/>
    <row r="73" spans="1:6" ht="16.5" thickTop="1" thickBot="1" x14ac:dyDescent="0.3">
      <c r="A73" t="s">
        <v>56</v>
      </c>
      <c r="B73" t="s">
        <v>53</v>
      </c>
      <c r="E73" s="3" t="s">
        <v>12</v>
      </c>
      <c r="F73" s="154"/>
    </row>
    <row r="74" spans="1:6" ht="7.9" customHeight="1" thickTop="1" thickBot="1" x14ac:dyDescent="0.3"/>
    <row r="75" spans="1:6" ht="16.5" thickTop="1" thickBot="1" x14ac:dyDescent="0.3">
      <c r="A75" t="s">
        <v>57</v>
      </c>
      <c r="B75" t="s">
        <v>55</v>
      </c>
      <c r="E75" s="3" t="s">
        <v>9</v>
      </c>
      <c r="F75" s="153"/>
    </row>
    <row r="76" spans="1:6" ht="7.9" customHeight="1" thickTop="1" thickBot="1" x14ac:dyDescent="0.3"/>
    <row r="77" spans="1:6" ht="16.5" thickTop="1" thickBot="1" x14ac:dyDescent="0.3">
      <c r="A77" t="s">
        <v>60</v>
      </c>
      <c r="B77" t="s">
        <v>285</v>
      </c>
      <c r="E77" s="3" t="s">
        <v>9</v>
      </c>
      <c r="F77" s="153"/>
    </row>
    <row r="78" spans="1:6" ht="18" customHeight="1" thickTop="1" x14ac:dyDescent="0.25"/>
    <row r="79" spans="1:6" ht="15.75" x14ac:dyDescent="0.25">
      <c r="B79" s="6" t="s">
        <v>59</v>
      </c>
      <c r="C79" s="2"/>
    </row>
    <row r="80" spans="1:6" ht="15.75" thickBot="1" x14ac:dyDescent="0.3">
      <c r="A80" t="s">
        <v>76</v>
      </c>
      <c r="B80" t="s">
        <v>61</v>
      </c>
      <c r="D80" s="4" t="s">
        <v>10</v>
      </c>
      <c r="F80" s="4" t="s">
        <v>10</v>
      </c>
    </row>
    <row r="81" spans="2:6" ht="16.5" thickTop="1" thickBot="1" x14ac:dyDescent="0.3">
      <c r="B81" t="s">
        <v>62</v>
      </c>
      <c r="C81" s="3" t="s">
        <v>12</v>
      </c>
      <c r="D81" s="153"/>
      <c r="E81" s="3" t="s">
        <v>9</v>
      </c>
      <c r="F81" s="153"/>
    </row>
    <row r="82" spans="2:6" ht="7.9" customHeight="1" thickTop="1" thickBot="1" x14ac:dyDescent="0.3"/>
    <row r="83" spans="2:6" ht="16.5" thickTop="1" thickBot="1" x14ac:dyDescent="0.3">
      <c r="B83" t="s">
        <v>259</v>
      </c>
      <c r="C83" s="3" t="s">
        <v>12</v>
      </c>
      <c r="D83" s="153"/>
      <c r="E83" s="3" t="s">
        <v>9</v>
      </c>
      <c r="F83" s="153"/>
    </row>
    <row r="84" spans="2:6" ht="7.9" customHeight="1" thickTop="1" thickBot="1" x14ac:dyDescent="0.3"/>
    <row r="85" spans="2:6" ht="16.5" thickTop="1" thickBot="1" x14ac:dyDescent="0.3">
      <c r="B85" t="s">
        <v>291</v>
      </c>
      <c r="C85" s="3" t="s">
        <v>12</v>
      </c>
      <c r="D85" s="153"/>
      <c r="E85" s="3" t="s">
        <v>9</v>
      </c>
      <c r="F85" s="153"/>
    </row>
    <row r="86" spans="2:6" ht="7.9" customHeight="1" thickTop="1" thickBot="1" x14ac:dyDescent="0.3"/>
    <row r="87" spans="2:6" ht="16.5" thickTop="1" thickBot="1" x14ac:dyDescent="0.3">
      <c r="B87" t="s">
        <v>260</v>
      </c>
      <c r="C87" s="3" t="s">
        <v>12</v>
      </c>
      <c r="D87" s="153"/>
      <c r="E87" s="3" t="s">
        <v>9</v>
      </c>
      <c r="F87" s="153"/>
    </row>
    <row r="88" spans="2:6" ht="7.9" customHeight="1" thickTop="1" thickBot="1" x14ac:dyDescent="0.3"/>
    <row r="89" spans="2:6" ht="16.5" thickTop="1" thickBot="1" x14ac:dyDescent="0.3">
      <c r="B89" t="s">
        <v>63</v>
      </c>
      <c r="C89" s="3" t="s">
        <v>12</v>
      </c>
      <c r="D89" s="153"/>
      <c r="E89" s="3" t="s">
        <v>9</v>
      </c>
      <c r="F89" s="153"/>
    </row>
    <row r="90" spans="2:6" ht="7.9" customHeight="1" thickTop="1" thickBot="1" x14ac:dyDescent="0.3"/>
    <row r="91" spans="2:6" ht="16.5" thickTop="1" thickBot="1" x14ac:dyDescent="0.3">
      <c r="B91" t="s">
        <v>64</v>
      </c>
      <c r="C91" s="3" t="s">
        <v>12</v>
      </c>
      <c r="D91" s="153"/>
      <c r="E91" s="3" t="s">
        <v>9</v>
      </c>
      <c r="F91" s="153"/>
    </row>
    <row r="92" spans="2:6" ht="7.9" customHeight="1" thickTop="1" thickBot="1" x14ac:dyDescent="0.3"/>
    <row r="93" spans="2:6" ht="16.5" thickTop="1" thickBot="1" x14ac:dyDescent="0.3">
      <c r="B93" t="s">
        <v>65</v>
      </c>
      <c r="C93" s="3" t="s">
        <v>12</v>
      </c>
      <c r="D93" s="153"/>
      <c r="E93" s="3" t="s">
        <v>9</v>
      </c>
      <c r="F93" s="153"/>
    </row>
    <row r="94" spans="2:6" ht="7.9" customHeight="1" thickTop="1" thickBot="1" x14ac:dyDescent="0.3"/>
    <row r="95" spans="2:6" ht="16.5" thickTop="1" thickBot="1" x14ac:dyDescent="0.3">
      <c r="B95" t="s">
        <v>66</v>
      </c>
      <c r="C95" s="3" t="s">
        <v>12</v>
      </c>
      <c r="D95" s="153"/>
      <c r="E95" s="3" t="s">
        <v>9</v>
      </c>
      <c r="F95" s="153"/>
    </row>
    <row r="96" spans="2:6" ht="7.9" customHeight="1" thickTop="1" thickBot="1" x14ac:dyDescent="0.3"/>
    <row r="97" spans="1:6" ht="16.5" thickTop="1" thickBot="1" x14ac:dyDescent="0.3">
      <c r="B97" t="s">
        <v>67</v>
      </c>
      <c r="C97" s="3" t="s">
        <v>12</v>
      </c>
      <c r="D97" s="153"/>
      <c r="E97" s="3" t="s">
        <v>9</v>
      </c>
      <c r="F97" s="153"/>
    </row>
    <row r="98" spans="1:6" ht="7.9" customHeight="1" thickTop="1" thickBot="1" x14ac:dyDescent="0.3"/>
    <row r="99" spans="1:6" ht="16.5" thickTop="1" thickBot="1" x14ac:dyDescent="0.3">
      <c r="B99" t="s">
        <v>68</v>
      </c>
      <c r="C99" s="3" t="s">
        <v>12</v>
      </c>
      <c r="D99" s="153"/>
      <c r="E99" s="3" t="s">
        <v>9</v>
      </c>
      <c r="F99" s="153"/>
    </row>
    <row r="100" spans="1:6" ht="7.9" customHeight="1" thickTop="1" thickBot="1" x14ac:dyDescent="0.3"/>
    <row r="101" spans="1:6" ht="16.5" thickTop="1" thickBot="1" x14ac:dyDescent="0.3">
      <c r="B101" t="s">
        <v>69</v>
      </c>
      <c r="C101" s="3" t="s">
        <v>12</v>
      </c>
      <c r="D101" s="153"/>
      <c r="E101" s="3" t="s">
        <v>9</v>
      </c>
      <c r="F101" s="153"/>
    </row>
    <row r="102" spans="1:6" ht="7.9" customHeight="1" thickTop="1" thickBot="1" x14ac:dyDescent="0.3"/>
    <row r="103" spans="1:6" ht="16.5" thickTop="1" thickBot="1" x14ac:dyDescent="0.3">
      <c r="B103" t="s">
        <v>70</v>
      </c>
      <c r="C103" s="3" t="s">
        <v>71</v>
      </c>
      <c r="D103" s="157"/>
      <c r="E103" s="3" t="s">
        <v>9</v>
      </c>
      <c r="F103" s="153"/>
    </row>
    <row r="104" spans="1:6" ht="18" customHeight="1" thickTop="1" x14ac:dyDescent="0.25"/>
    <row r="105" spans="1:6" ht="16.5" thickBot="1" x14ac:dyDescent="0.3">
      <c r="B105" s="6" t="s">
        <v>75</v>
      </c>
      <c r="C105" s="2"/>
      <c r="F105" s="4" t="s">
        <v>10</v>
      </c>
    </row>
    <row r="106" spans="1:6" ht="16.5" thickTop="1" thickBot="1" x14ac:dyDescent="0.3">
      <c r="A106" t="s">
        <v>78</v>
      </c>
      <c r="B106" t="s">
        <v>77</v>
      </c>
      <c r="E106" s="3" t="s">
        <v>9</v>
      </c>
      <c r="F106" s="153"/>
    </row>
    <row r="107" spans="1:6" ht="7.9" customHeight="1" thickTop="1" thickBot="1" x14ac:dyDescent="0.3"/>
    <row r="108" spans="1:6" ht="16.5" thickTop="1" thickBot="1" x14ac:dyDescent="0.3">
      <c r="A108" t="s">
        <v>80</v>
      </c>
      <c r="B108" t="s">
        <v>79</v>
      </c>
      <c r="E108" s="3" t="s">
        <v>9</v>
      </c>
      <c r="F108" s="153"/>
    </row>
    <row r="109" spans="1:6" ht="7.9" customHeight="1" thickTop="1" thickBot="1" x14ac:dyDescent="0.3"/>
    <row r="110" spans="1:6" ht="16.5" thickTop="1" thickBot="1" x14ac:dyDescent="0.3">
      <c r="B110" t="s">
        <v>348</v>
      </c>
      <c r="E110" s="3" t="s">
        <v>9</v>
      </c>
      <c r="F110" s="153"/>
    </row>
    <row r="111" spans="1:6" ht="7.9" customHeight="1" thickTop="1" thickBot="1" x14ac:dyDescent="0.3"/>
    <row r="112" spans="1:6" ht="16.5" thickTop="1" thickBot="1" x14ac:dyDescent="0.3">
      <c r="B112" t="s">
        <v>349</v>
      </c>
      <c r="E112" s="3" t="s">
        <v>9</v>
      </c>
      <c r="F112" s="153"/>
    </row>
    <row r="113" spans="1:7" ht="7.9" customHeight="1" thickTop="1" thickBot="1" x14ac:dyDescent="0.3"/>
    <row r="114" spans="1:7" ht="16.5" thickTop="1" thickBot="1" x14ac:dyDescent="0.3">
      <c r="B114" t="s">
        <v>350</v>
      </c>
      <c r="E114" s="3" t="s">
        <v>12</v>
      </c>
      <c r="F114" s="153"/>
      <c r="G114" s="50">
        <f>IF(OR(F112="",F112=0),0,(F108/F112))</f>
        <v>0</v>
      </c>
    </row>
    <row r="115" spans="1:7" ht="7.9" customHeight="1" thickTop="1" thickBot="1" x14ac:dyDescent="0.3"/>
    <row r="116" spans="1:7" ht="16.5" thickTop="1" thickBot="1" x14ac:dyDescent="0.3">
      <c r="A116" t="s">
        <v>278</v>
      </c>
      <c r="B116" t="s">
        <v>95</v>
      </c>
      <c r="E116" s="3" t="s">
        <v>9</v>
      </c>
      <c r="F116" s="153"/>
    </row>
    <row r="117" spans="1:7" ht="7.9" customHeight="1" thickTop="1" thickBot="1" x14ac:dyDescent="0.3"/>
    <row r="118" spans="1:7" ht="16.5" thickTop="1" thickBot="1" x14ac:dyDescent="0.3">
      <c r="B118" t="s">
        <v>348</v>
      </c>
      <c r="E118" s="3" t="s">
        <v>9</v>
      </c>
      <c r="F118" s="153"/>
    </row>
    <row r="119" spans="1:7" ht="7.9" customHeight="1" thickTop="1" thickBot="1" x14ac:dyDescent="0.3"/>
    <row r="120" spans="1:7" ht="16.5" thickTop="1" thickBot="1" x14ac:dyDescent="0.3">
      <c r="B120" t="s">
        <v>349</v>
      </c>
      <c r="E120" s="3" t="s">
        <v>9</v>
      </c>
      <c r="F120" s="153"/>
    </row>
    <row r="121" spans="1:7" ht="7.9" customHeight="1" thickTop="1" thickBot="1" x14ac:dyDescent="0.3"/>
    <row r="122" spans="1:7" ht="16.5" thickTop="1" thickBot="1" x14ac:dyDescent="0.3">
      <c r="B122" t="s">
        <v>350</v>
      </c>
      <c r="E122" s="3" t="s">
        <v>12</v>
      </c>
      <c r="F122" s="153"/>
      <c r="G122" s="50">
        <f>IF(OR(F120="",F120=0),0,(F116/F120))</f>
        <v>0</v>
      </c>
    </row>
    <row r="123" spans="1:7" ht="15.75" thickTop="1" x14ac:dyDescent="0.25"/>
    <row r="124" spans="1:7" ht="15.75" x14ac:dyDescent="0.25">
      <c r="B124" s="6" t="s">
        <v>261</v>
      </c>
      <c r="C124" s="2"/>
    </row>
    <row r="125" spans="1:7" ht="15.75" thickBot="1" x14ac:dyDescent="0.3">
      <c r="A125" t="s">
        <v>110</v>
      </c>
      <c r="B125" t="s">
        <v>96</v>
      </c>
      <c r="F125" s="4" t="s">
        <v>10</v>
      </c>
    </row>
    <row r="126" spans="1:7" ht="16.5" thickTop="1" thickBot="1" x14ac:dyDescent="0.3">
      <c r="B126" s="180" t="s">
        <v>97</v>
      </c>
      <c r="C126" s="180"/>
      <c r="D126" s="180"/>
      <c r="E126" s="3" t="s">
        <v>9</v>
      </c>
      <c r="F126" s="153"/>
    </row>
    <row r="127" spans="1:7" ht="7.9" customHeight="1" thickTop="1" thickBot="1" x14ac:dyDescent="0.3"/>
    <row r="128" spans="1:7" ht="16.5" thickTop="1" thickBot="1" x14ac:dyDescent="0.3">
      <c r="B128" t="s">
        <v>351</v>
      </c>
      <c r="E128" s="3" t="s">
        <v>12</v>
      </c>
      <c r="F128" s="153"/>
    </row>
    <row r="129" spans="2:6" ht="7.9" customHeight="1" thickTop="1" thickBot="1" x14ac:dyDescent="0.3"/>
    <row r="130" spans="2:6" ht="16.5" thickTop="1" thickBot="1" x14ac:dyDescent="0.3">
      <c r="B130" s="180" t="s">
        <v>257</v>
      </c>
      <c r="C130" s="180"/>
      <c r="D130" s="180"/>
      <c r="E130" s="3" t="s">
        <v>9</v>
      </c>
      <c r="F130" s="153"/>
    </row>
    <row r="131" spans="2:6" ht="7.9" customHeight="1" thickTop="1" thickBot="1" x14ac:dyDescent="0.3"/>
    <row r="132" spans="2:6" ht="16.5" thickTop="1" thickBot="1" x14ac:dyDescent="0.3">
      <c r="B132" s="180" t="s">
        <v>98</v>
      </c>
      <c r="C132" s="180"/>
      <c r="D132" s="180"/>
      <c r="E132" s="3" t="s">
        <v>9</v>
      </c>
      <c r="F132" s="153"/>
    </row>
    <row r="133" spans="2:6" ht="7.9" customHeight="1" thickTop="1" thickBot="1" x14ac:dyDescent="0.3"/>
    <row r="134" spans="2:6" ht="16.5" thickTop="1" thickBot="1" x14ac:dyDescent="0.3">
      <c r="B134" t="s">
        <v>351</v>
      </c>
      <c r="E134" s="3" t="s">
        <v>12</v>
      </c>
      <c r="F134" s="153"/>
    </row>
    <row r="135" spans="2:6" ht="7.9" customHeight="1" thickTop="1" thickBot="1" x14ac:dyDescent="0.3"/>
    <row r="136" spans="2:6" ht="16.5" thickTop="1" thickBot="1" x14ac:dyDescent="0.3">
      <c r="B136" s="180" t="s">
        <v>99</v>
      </c>
      <c r="C136" s="180"/>
      <c r="D136" s="180"/>
      <c r="E136" s="3" t="s">
        <v>9</v>
      </c>
      <c r="F136" s="153"/>
    </row>
    <row r="137" spans="2:6" ht="7.9" customHeight="1" thickTop="1" thickBot="1" x14ac:dyDescent="0.3"/>
    <row r="138" spans="2:6" ht="16.5" thickTop="1" thickBot="1" x14ac:dyDescent="0.3">
      <c r="B138" s="180" t="s">
        <v>100</v>
      </c>
      <c r="C138" s="180"/>
      <c r="D138" s="180"/>
      <c r="E138" s="3" t="s">
        <v>9</v>
      </c>
      <c r="F138" s="153"/>
    </row>
    <row r="139" spans="2:6" ht="7.9" customHeight="1" thickTop="1" thickBot="1" x14ac:dyDescent="0.3"/>
    <row r="140" spans="2:6" ht="16.5" thickTop="1" thickBot="1" x14ac:dyDescent="0.3">
      <c r="B140" s="180" t="s">
        <v>101</v>
      </c>
      <c r="C140" s="180"/>
      <c r="D140" s="180"/>
      <c r="E140" s="3" t="s">
        <v>9</v>
      </c>
      <c r="F140" s="153"/>
    </row>
    <row r="141" spans="2:6" ht="7.9" customHeight="1" thickTop="1" x14ac:dyDescent="0.25"/>
    <row r="142" spans="2:6" ht="15.75" thickBot="1" x14ac:dyDescent="0.3">
      <c r="B142" s="180" t="s">
        <v>102</v>
      </c>
      <c r="C142" s="180"/>
      <c r="D142" s="180"/>
      <c r="F142" s="47">
        <f>SUM(F143:F153)</f>
        <v>0</v>
      </c>
    </row>
    <row r="143" spans="2:6" ht="16.5" thickTop="1" thickBot="1" x14ac:dyDescent="0.3">
      <c r="B143" t="s">
        <v>103</v>
      </c>
      <c r="E143" s="3" t="s">
        <v>9</v>
      </c>
      <c r="F143" s="153"/>
    </row>
    <row r="144" spans="2:6" ht="7.9" customHeight="1" thickTop="1" thickBot="1" x14ac:dyDescent="0.3"/>
    <row r="145" spans="1:6" ht="16.5" thickTop="1" thickBot="1" x14ac:dyDescent="0.3">
      <c r="B145" t="s">
        <v>104</v>
      </c>
      <c r="E145" s="3" t="s">
        <v>9</v>
      </c>
      <c r="F145" s="153"/>
    </row>
    <row r="146" spans="1:6" ht="7.9" customHeight="1" thickTop="1" thickBot="1" x14ac:dyDescent="0.3"/>
    <row r="147" spans="1:6" ht="15.6" customHeight="1" thickTop="1" thickBot="1" x14ac:dyDescent="0.3">
      <c r="B147" t="s">
        <v>108</v>
      </c>
      <c r="E147" s="3" t="s">
        <v>9</v>
      </c>
      <c r="F147" s="153"/>
    </row>
    <row r="148" spans="1:6" ht="7.9" customHeight="1" thickTop="1" thickBot="1" x14ac:dyDescent="0.3"/>
    <row r="149" spans="1:6" ht="16.5" thickTop="1" thickBot="1" x14ac:dyDescent="0.3">
      <c r="B149" t="s">
        <v>105</v>
      </c>
      <c r="E149" s="3" t="s">
        <v>9</v>
      </c>
      <c r="F149" s="153"/>
    </row>
    <row r="150" spans="1:6" ht="7.9" customHeight="1" thickTop="1" thickBot="1" x14ac:dyDescent="0.3"/>
    <row r="151" spans="1:6" ht="16.5" thickTop="1" thickBot="1" x14ac:dyDescent="0.3">
      <c r="B151" t="s">
        <v>106</v>
      </c>
      <c r="E151" s="3" t="s">
        <v>9</v>
      </c>
      <c r="F151" s="153"/>
    </row>
    <row r="152" spans="1:6" ht="7.9" customHeight="1" thickTop="1" thickBot="1" x14ac:dyDescent="0.3"/>
    <row r="153" spans="1:6" ht="16.5" thickTop="1" thickBot="1" x14ac:dyDescent="0.3">
      <c r="B153" t="s">
        <v>107</v>
      </c>
      <c r="E153" s="3" t="s">
        <v>9</v>
      </c>
      <c r="F153" s="153"/>
    </row>
    <row r="154" spans="1:6" ht="15.75" thickTop="1" x14ac:dyDescent="0.25"/>
    <row r="155" spans="1:6" ht="16.5" thickBot="1" x14ac:dyDescent="0.3">
      <c r="B155" s="6" t="s">
        <v>109</v>
      </c>
      <c r="C155" s="2"/>
      <c r="F155" s="4" t="s">
        <v>10</v>
      </c>
    </row>
    <row r="156" spans="1:6" ht="16.5" thickTop="1" thickBot="1" x14ac:dyDescent="0.3">
      <c r="A156" t="s">
        <v>112</v>
      </c>
      <c r="B156" t="s">
        <v>111</v>
      </c>
      <c r="E156" s="3" t="s">
        <v>12</v>
      </c>
      <c r="F156" s="154"/>
    </row>
    <row r="157" spans="1:6" ht="7.9" customHeight="1" thickTop="1" thickBot="1" x14ac:dyDescent="0.3"/>
    <row r="158" spans="1:6" ht="16.5" thickTop="1" thickBot="1" x14ac:dyDescent="0.3">
      <c r="A158" t="s">
        <v>113</v>
      </c>
      <c r="B158" t="s">
        <v>352</v>
      </c>
      <c r="E158" s="3" t="s">
        <v>355</v>
      </c>
      <c r="F158" s="158"/>
    </row>
    <row r="159" spans="1:6" ht="7.9" customHeight="1" thickTop="1" thickBot="1" x14ac:dyDescent="0.3"/>
    <row r="160" spans="1:6" ht="16.5" thickTop="1" thickBot="1" x14ac:dyDescent="0.3">
      <c r="A160" t="s">
        <v>114</v>
      </c>
      <c r="B160" t="s">
        <v>353</v>
      </c>
      <c r="E160" s="3" t="s">
        <v>12</v>
      </c>
      <c r="F160" s="158"/>
    </row>
    <row r="161" spans="1:7" ht="7.9" customHeight="1" thickTop="1" thickBot="1" x14ac:dyDescent="0.3"/>
    <row r="162" spans="1:7" ht="16.5" thickTop="1" thickBot="1" x14ac:dyDescent="0.3">
      <c r="A162" t="s">
        <v>117</v>
      </c>
      <c r="B162" t="s">
        <v>354</v>
      </c>
      <c r="E162" s="3" t="s">
        <v>12</v>
      </c>
      <c r="F162" s="158"/>
    </row>
    <row r="163" spans="1:7" ht="15.75" thickTop="1" x14ac:dyDescent="0.25">
      <c r="E163" s="3"/>
      <c r="F163"/>
      <c r="G163" s="17"/>
    </row>
    <row r="164" spans="1:7" ht="15.6" hidden="1" x14ac:dyDescent="0.3">
      <c r="B164" s="6" t="s">
        <v>199</v>
      </c>
      <c r="C164" s="2"/>
    </row>
    <row r="165" spans="1:7" hidden="1" thickBot="1" x14ac:dyDescent="0.35">
      <c r="A165" t="s">
        <v>117</v>
      </c>
      <c r="B165" t="s">
        <v>200</v>
      </c>
      <c r="C165" s="42"/>
      <c r="F165" s="4" t="s">
        <v>201</v>
      </c>
    </row>
    <row r="166" spans="1:7" ht="15.6" hidden="1" thickTop="1" thickBot="1" x14ac:dyDescent="0.35">
      <c r="B166" t="s">
        <v>129</v>
      </c>
      <c r="E166" s="3" t="s">
        <v>9</v>
      </c>
      <c r="F166" s="43">
        <f>F200*$F$158</f>
        <v>0</v>
      </c>
    </row>
    <row r="167" spans="1:7" ht="7.9" hidden="1" customHeight="1" thickTop="1" thickBot="1" x14ac:dyDescent="0.35">
      <c r="E167" s="3"/>
      <c r="F167" s="16"/>
    </row>
    <row r="168" spans="1:7" ht="15.6" hidden="1" thickTop="1" thickBot="1" x14ac:dyDescent="0.35">
      <c r="B168" t="s">
        <v>130</v>
      </c>
      <c r="E168" s="3" t="s">
        <v>9</v>
      </c>
      <c r="F168" s="43">
        <f>F202*$F$158</f>
        <v>0</v>
      </c>
    </row>
    <row r="169" spans="1:7" ht="7.9" hidden="1" customHeight="1" thickTop="1" thickBot="1" x14ac:dyDescent="0.35"/>
    <row r="170" spans="1:7" ht="15.6" hidden="1" thickTop="1" thickBot="1" x14ac:dyDescent="0.35">
      <c r="B170" t="s">
        <v>131</v>
      </c>
      <c r="E170" s="3" t="s">
        <v>9</v>
      </c>
      <c r="F170" s="43">
        <f>F204*$F$158</f>
        <v>0</v>
      </c>
    </row>
    <row r="171" spans="1:7" ht="7.9" hidden="1" customHeight="1" thickTop="1" thickBot="1" x14ac:dyDescent="0.35"/>
    <row r="172" spans="1:7" ht="15.6" hidden="1" thickTop="1" thickBot="1" x14ac:dyDescent="0.35">
      <c r="B172" t="s">
        <v>132</v>
      </c>
      <c r="E172" s="3" t="s">
        <v>9</v>
      </c>
      <c r="F172" s="43">
        <f>F206*$F$158</f>
        <v>0</v>
      </c>
    </row>
    <row r="173" spans="1:7" ht="7.9" hidden="1" customHeight="1" thickTop="1" thickBot="1" x14ac:dyDescent="0.35"/>
    <row r="174" spans="1:7" ht="15.6" hidden="1" thickTop="1" thickBot="1" x14ac:dyDescent="0.35">
      <c r="B174" t="s">
        <v>133</v>
      </c>
      <c r="E174" s="3" t="s">
        <v>9</v>
      </c>
      <c r="F174" s="43">
        <f>F208*$F$158</f>
        <v>0</v>
      </c>
    </row>
    <row r="175" spans="1:7" ht="7.9" hidden="1" customHeight="1" thickTop="1" thickBot="1" x14ac:dyDescent="0.35"/>
    <row r="176" spans="1:7" ht="15.6" hidden="1" thickTop="1" thickBot="1" x14ac:dyDescent="0.35">
      <c r="B176" t="s">
        <v>134</v>
      </c>
      <c r="E176" s="3" t="s">
        <v>9</v>
      </c>
      <c r="F176" s="43">
        <f>F210*$F$158</f>
        <v>0</v>
      </c>
    </row>
    <row r="177" spans="1:6" ht="7.9" hidden="1" customHeight="1" thickTop="1" thickBot="1" x14ac:dyDescent="0.35"/>
    <row r="178" spans="1:6" ht="15.6" hidden="1" thickTop="1" thickBot="1" x14ac:dyDescent="0.35">
      <c r="B178" t="s">
        <v>135</v>
      </c>
      <c r="E178" s="3" t="s">
        <v>9</v>
      </c>
      <c r="F178" s="43">
        <f>F212*$F$158</f>
        <v>0</v>
      </c>
    </row>
    <row r="179" spans="1:6" ht="7.9" hidden="1" customHeight="1" thickTop="1" thickBot="1" x14ac:dyDescent="0.35"/>
    <row r="180" spans="1:6" ht="15.6" hidden="1" thickTop="1" thickBot="1" x14ac:dyDescent="0.35">
      <c r="B180" t="s">
        <v>136</v>
      </c>
      <c r="E180" s="3" t="s">
        <v>9</v>
      </c>
      <c r="F180" s="43">
        <f>F214*$F$158</f>
        <v>0</v>
      </c>
    </row>
    <row r="181" spans="1:6" ht="7.9" hidden="1" customHeight="1" thickTop="1" thickBot="1" x14ac:dyDescent="0.35"/>
    <row r="182" spans="1:6" ht="15.6" hidden="1" thickTop="1" thickBot="1" x14ac:dyDescent="0.35">
      <c r="B182" t="s">
        <v>137</v>
      </c>
      <c r="E182" s="3" t="s">
        <v>9</v>
      </c>
      <c r="F182" s="43">
        <f>F216*$F$158</f>
        <v>0</v>
      </c>
    </row>
    <row r="183" spans="1:6" ht="7.9" hidden="1" customHeight="1" thickTop="1" thickBot="1" x14ac:dyDescent="0.35"/>
    <row r="184" spans="1:6" ht="15.6" hidden="1" thickTop="1" thickBot="1" x14ac:dyDescent="0.35">
      <c r="B184" t="s">
        <v>138</v>
      </c>
      <c r="E184" s="3" t="s">
        <v>9</v>
      </c>
      <c r="F184" s="43">
        <f>F218*$F$158</f>
        <v>0</v>
      </c>
    </row>
    <row r="185" spans="1:6" ht="7.9" hidden="1" customHeight="1" thickTop="1" thickBot="1" x14ac:dyDescent="0.35"/>
    <row r="186" spans="1:6" ht="15.6" hidden="1" thickTop="1" thickBot="1" x14ac:dyDescent="0.35">
      <c r="B186" t="s">
        <v>139</v>
      </c>
      <c r="E186" s="3" t="s">
        <v>9</v>
      </c>
      <c r="F186" s="43">
        <f>F220*$F$158</f>
        <v>0</v>
      </c>
    </row>
    <row r="187" spans="1:6" ht="7.9" hidden="1" customHeight="1" thickTop="1" thickBot="1" x14ac:dyDescent="0.35"/>
    <row r="188" spans="1:6" ht="15.6" hidden="1" thickTop="1" thickBot="1" x14ac:dyDescent="0.35">
      <c r="B188" t="s">
        <v>140</v>
      </c>
      <c r="E188" s="3" t="s">
        <v>9</v>
      </c>
      <c r="F188" s="43">
        <f>F222*$F$158</f>
        <v>0</v>
      </c>
    </row>
    <row r="189" spans="1:6" ht="16.149999999999999" hidden="1" thickTop="1" x14ac:dyDescent="0.3">
      <c r="B189" s="41"/>
      <c r="C189" s="42"/>
      <c r="F189" s="4"/>
    </row>
    <row r="190" spans="1:6" ht="14.45" hidden="1" x14ac:dyDescent="0.3"/>
    <row r="191" spans="1:6" ht="16.5" thickBot="1" x14ac:dyDescent="0.3">
      <c r="B191" s="6" t="s">
        <v>116</v>
      </c>
      <c r="C191" s="2"/>
      <c r="F191" s="4" t="s">
        <v>10</v>
      </c>
    </row>
    <row r="192" spans="1:6" ht="15.6" hidden="1" thickTop="1" thickBot="1" x14ac:dyDescent="0.35">
      <c r="A192" t="s">
        <v>125</v>
      </c>
      <c r="B192" t="s">
        <v>202</v>
      </c>
      <c r="C192" s="42"/>
      <c r="E192" s="3" t="s">
        <v>9</v>
      </c>
      <c r="F192" s="43">
        <f>F226*$F$158</f>
        <v>0</v>
      </c>
    </row>
    <row r="193" spans="1:6" ht="7.9" hidden="1" customHeight="1" thickTop="1" thickBot="1" x14ac:dyDescent="0.35">
      <c r="B193" s="41"/>
      <c r="C193" s="42"/>
      <c r="F193" s="4"/>
    </row>
    <row r="194" spans="1:6" ht="16.5" thickTop="1" thickBot="1" x14ac:dyDescent="0.3">
      <c r="A194" t="s">
        <v>125</v>
      </c>
      <c r="B194" t="s">
        <v>118</v>
      </c>
      <c r="E194" s="3" t="s">
        <v>12</v>
      </c>
      <c r="F194" s="159"/>
    </row>
    <row r="195" spans="1:6" ht="7.9" customHeight="1" thickTop="1" thickBot="1" x14ac:dyDescent="0.3"/>
    <row r="196" spans="1:6" ht="16.5" thickTop="1" thickBot="1" x14ac:dyDescent="0.3">
      <c r="A196" t="s">
        <v>127</v>
      </c>
      <c r="B196" t="s">
        <v>126</v>
      </c>
      <c r="E196" s="3" t="s">
        <v>12</v>
      </c>
      <c r="F196" s="154"/>
    </row>
    <row r="197" spans="1:6" ht="15.75" thickTop="1" x14ac:dyDescent="0.25"/>
    <row r="198" spans="1:6" ht="15.75" x14ac:dyDescent="0.25">
      <c r="B198" s="6" t="s">
        <v>265</v>
      </c>
      <c r="C198" s="2"/>
    </row>
    <row r="199" spans="1:6" ht="15.75" thickBot="1" x14ac:dyDescent="0.3">
      <c r="A199" t="s">
        <v>279</v>
      </c>
      <c r="B199" t="s">
        <v>128</v>
      </c>
      <c r="F199" s="4" t="s">
        <v>10</v>
      </c>
    </row>
    <row r="200" spans="1:6" ht="16.5" thickTop="1" thickBot="1" x14ac:dyDescent="0.3">
      <c r="B200" t="s">
        <v>129</v>
      </c>
      <c r="E200" s="3" t="s">
        <v>9</v>
      </c>
      <c r="F200" s="153"/>
    </row>
    <row r="201" spans="1:6" ht="7.9" customHeight="1" thickTop="1" thickBot="1" x14ac:dyDescent="0.3">
      <c r="E201" s="3"/>
      <c r="F201" s="16"/>
    </row>
    <row r="202" spans="1:6" ht="16.5" thickTop="1" thickBot="1" x14ac:dyDescent="0.3">
      <c r="B202" t="s">
        <v>130</v>
      </c>
      <c r="E202" s="3" t="s">
        <v>9</v>
      </c>
      <c r="F202" s="187"/>
    </row>
    <row r="203" spans="1:6" ht="7.9" customHeight="1" thickTop="1" thickBot="1" x14ac:dyDescent="0.3"/>
    <row r="204" spans="1:6" ht="16.5" thickTop="1" thickBot="1" x14ac:dyDescent="0.3">
      <c r="B204" t="s">
        <v>131</v>
      </c>
      <c r="E204" s="3" t="s">
        <v>9</v>
      </c>
      <c r="F204" s="187"/>
    </row>
    <row r="205" spans="1:6" ht="7.9" customHeight="1" thickTop="1" thickBot="1" x14ac:dyDescent="0.3"/>
    <row r="206" spans="1:6" ht="16.5" thickTop="1" thickBot="1" x14ac:dyDescent="0.3">
      <c r="B206" t="s">
        <v>132</v>
      </c>
      <c r="E206" s="3" t="s">
        <v>9</v>
      </c>
      <c r="F206" s="187"/>
    </row>
    <row r="207" spans="1:6" ht="7.9" customHeight="1" thickTop="1" thickBot="1" x14ac:dyDescent="0.3"/>
    <row r="208" spans="1:6" ht="16.5" thickTop="1" thickBot="1" x14ac:dyDescent="0.3">
      <c r="B208" t="s">
        <v>133</v>
      </c>
      <c r="E208" s="3" t="s">
        <v>9</v>
      </c>
      <c r="F208" s="153"/>
    </row>
    <row r="209" spans="2:6" ht="7.9" customHeight="1" thickTop="1" thickBot="1" x14ac:dyDescent="0.3"/>
    <row r="210" spans="2:6" ht="16.5" thickTop="1" thickBot="1" x14ac:dyDescent="0.3">
      <c r="B210" t="s">
        <v>134</v>
      </c>
      <c r="E210" s="3" t="s">
        <v>9</v>
      </c>
      <c r="F210" s="153"/>
    </row>
    <row r="211" spans="2:6" ht="7.9" customHeight="1" thickTop="1" thickBot="1" x14ac:dyDescent="0.3"/>
    <row r="212" spans="2:6" ht="16.5" thickTop="1" thickBot="1" x14ac:dyDescent="0.3">
      <c r="B212" t="s">
        <v>135</v>
      </c>
      <c r="E212" s="3" t="s">
        <v>9</v>
      </c>
      <c r="F212" s="153"/>
    </row>
    <row r="213" spans="2:6" ht="7.9" customHeight="1" thickTop="1" thickBot="1" x14ac:dyDescent="0.3"/>
    <row r="214" spans="2:6" ht="16.5" thickTop="1" thickBot="1" x14ac:dyDescent="0.3">
      <c r="B214" t="s">
        <v>136</v>
      </c>
      <c r="E214" s="3" t="s">
        <v>9</v>
      </c>
      <c r="F214" s="153"/>
    </row>
    <row r="215" spans="2:6" ht="7.9" customHeight="1" thickTop="1" thickBot="1" x14ac:dyDescent="0.3"/>
    <row r="216" spans="2:6" ht="16.5" thickTop="1" thickBot="1" x14ac:dyDescent="0.3">
      <c r="B216" t="s">
        <v>137</v>
      </c>
      <c r="E216" s="3" t="s">
        <v>9</v>
      </c>
      <c r="F216" s="153"/>
    </row>
    <row r="217" spans="2:6" ht="7.9" customHeight="1" thickTop="1" thickBot="1" x14ac:dyDescent="0.3"/>
    <row r="218" spans="2:6" ht="16.5" thickTop="1" thickBot="1" x14ac:dyDescent="0.3">
      <c r="B218" t="s">
        <v>138</v>
      </c>
      <c r="E218" s="3" t="s">
        <v>9</v>
      </c>
      <c r="F218" s="153"/>
    </row>
    <row r="219" spans="2:6" ht="7.9" customHeight="1" thickTop="1" thickBot="1" x14ac:dyDescent="0.3"/>
    <row r="220" spans="2:6" ht="16.5" thickTop="1" thickBot="1" x14ac:dyDescent="0.3">
      <c r="B220" t="s">
        <v>139</v>
      </c>
      <c r="E220" s="3" t="s">
        <v>9</v>
      </c>
      <c r="F220" s="153"/>
    </row>
    <row r="221" spans="2:6" ht="7.9" customHeight="1" thickTop="1" thickBot="1" x14ac:dyDescent="0.3"/>
    <row r="222" spans="2:6" ht="16.5" thickTop="1" thickBot="1" x14ac:dyDescent="0.3">
      <c r="B222" t="s">
        <v>140</v>
      </c>
      <c r="E222" s="3" t="s">
        <v>9</v>
      </c>
      <c r="F222" s="153"/>
    </row>
    <row r="223" spans="2:6" ht="15.75" thickTop="1" x14ac:dyDescent="0.25"/>
    <row r="224" spans="2:6" ht="15.6" hidden="1" x14ac:dyDescent="0.3">
      <c r="B224" s="6" t="s">
        <v>264</v>
      </c>
      <c r="C224" s="2"/>
    </row>
    <row r="225" spans="1:6" hidden="1" thickBot="1" x14ac:dyDescent="0.35">
      <c r="A225" t="s">
        <v>127</v>
      </c>
      <c r="B225" t="s">
        <v>128</v>
      </c>
      <c r="F225" s="4" t="s">
        <v>10</v>
      </c>
    </row>
    <row r="226" spans="1:6" ht="15.6" hidden="1" thickTop="1" thickBot="1" x14ac:dyDescent="0.35">
      <c r="B226" t="s">
        <v>129</v>
      </c>
      <c r="E226" s="3" t="s">
        <v>9</v>
      </c>
      <c r="F226" s="127">
        <f>F200/(1+$F$194)</f>
        <v>0</v>
      </c>
    </row>
    <row r="227" spans="1:6" ht="7.9" hidden="1" customHeight="1" thickTop="1" thickBot="1" x14ac:dyDescent="0.35">
      <c r="E227" s="3"/>
      <c r="F227" s="16"/>
    </row>
    <row r="228" spans="1:6" ht="15.6" hidden="1" thickTop="1" thickBot="1" x14ac:dyDescent="0.35">
      <c r="B228" t="s">
        <v>130</v>
      </c>
      <c r="E228" s="3" t="s">
        <v>9</v>
      </c>
      <c r="F228" s="127">
        <f>F202/(1+$F$194)</f>
        <v>0</v>
      </c>
    </row>
    <row r="229" spans="1:6" ht="7.9" hidden="1" customHeight="1" thickTop="1" thickBot="1" x14ac:dyDescent="0.35"/>
    <row r="230" spans="1:6" ht="15.6" hidden="1" thickTop="1" thickBot="1" x14ac:dyDescent="0.35">
      <c r="B230" t="s">
        <v>131</v>
      </c>
      <c r="E230" s="3" t="s">
        <v>9</v>
      </c>
      <c r="F230" s="127">
        <f>F204/(1+$F$194)</f>
        <v>0</v>
      </c>
    </row>
    <row r="231" spans="1:6" ht="7.9" hidden="1" customHeight="1" thickTop="1" thickBot="1" x14ac:dyDescent="0.35"/>
    <row r="232" spans="1:6" ht="15.6" hidden="1" thickTop="1" thickBot="1" x14ac:dyDescent="0.35">
      <c r="B232" t="s">
        <v>132</v>
      </c>
      <c r="E232" s="3" t="s">
        <v>9</v>
      </c>
      <c r="F232" s="127">
        <f>F206/(1+$F$194)</f>
        <v>0</v>
      </c>
    </row>
    <row r="233" spans="1:6" ht="7.9" hidden="1" customHeight="1" thickTop="1" thickBot="1" x14ac:dyDescent="0.35"/>
    <row r="234" spans="1:6" ht="15.6" hidden="1" thickTop="1" thickBot="1" x14ac:dyDescent="0.35">
      <c r="B234" t="s">
        <v>133</v>
      </c>
      <c r="E234" s="3" t="s">
        <v>9</v>
      </c>
      <c r="F234" s="127">
        <f>F208/(1+$F$194)</f>
        <v>0</v>
      </c>
    </row>
    <row r="235" spans="1:6" ht="7.9" hidden="1" customHeight="1" thickTop="1" thickBot="1" x14ac:dyDescent="0.35"/>
    <row r="236" spans="1:6" ht="15.6" hidden="1" thickTop="1" thickBot="1" x14ac:dyDescent="0.35">
      <c r="B236" t="s">
        <v>134</v>
      </c>
      <c r="E236" s="3" t="s">
        <v>9</v>
      </c>
      <c r="F236" s="127">
        <f>F210/(1+$F$194)</f>
        <v>0</v>
      </c>
    </row>
    <row r="237" spans="1:6" ht="7.9" hidden="1" customHeight="1" thickTop="1" thickBot="1" x14ac:dyDescent="0.35"/>
    <row r="238" spans="1:6" ht="15.6" hidden="1" thickTop="1" thickBot="1" x14ac:dyDescent="0.35">
      <c r="B238" t="s">
        <v>135</v>
      </c>
      <c r="E238" s="3" t="s">
        <v>9</v>
      </c>
      <c r="F238" s="127">
        <f>F212/(1+$F$194)</f>
        <v>0</v>
      </c>
    </row>
    <row r="239" spans="1:6" ht="7.9" hidden="1" customHeight="1" thickTop="1" thickBot="1" x14ac:dyDescent="0.35"/>
    <row r="240" spans="1:6" ht="15.6" hidden="1" thickTop="1" thickBot="1" x14ac:dyDescent="0.35">
      <c r="B240" t="s">
        <v>136</v>
      </c>
      <c r="E240" s="3" t="s">
        <v>9</v>
      </c>
      <c r="F240" s="127">
        <f>F214/(1+$F$194)</f>
        <v>0</v>
      </c>
    </row>
    <row r="241" spans="2:6" ht="7.9" hidden="1" customHeight="1" thickTop="1" thickBot="1" x14ac:dyDescent="0.35"/>
    <row r="242" spans="2:6" ht="15.6" hidden="1" thickTop="1" thickBot="1" x14ac:dyDescent="0.35">
      <c r="B242" t="s">
        <v>137</v>
      </c>
      <c r="E242" s="3" t="s">
        <v>9</v>
      </c>
      <c r="F242" s="127">
        <f>F216/(1+$F$194)</f>
        <v>0</v>
      </c>
    </row>
    <row r="243" spans="2:6" ht="7.9" hidden="1" customHeight="1" thickTop="1" thickBot="1" x14ac:dyDescent="0.35"/>
    <row r="244" spans="2:6" ht="15.6" hidden="1" thickTop="1" thickBot="1" x14ac:dyDescent="0.35">
      <c r="B244" t="s">
        <v>138</v>
      </c>
      <c r="E244" s="3" t="s">
        <v>9</v>
      </c>
      <c r="F244" s="127">
        <f>F218/(1+$F$194)</f>
        <v>0</v>
      </c>
    </row>
    <row r="245" spans="2:6" ht="7.9" hidden="1" customHeight="1" thickTop="1" thickBot="1" x14ac:dyDescent="0.35"/>
    <row r="246" spans="2:6" ht="15.6" hidden="1" thickTop="1" thickBot="1" x14ac:dyDescent="0.35">
      <c r="B246" t="s">
        <v>139</v>
      </c>
      <c r="E246" s="3" t="s">
        <v>9</v>
      </c>
      <c r="F246" s="127">
        <f>F220/(1+$F$194)</f>
        <v>0</v>
      </c>
    </row>
    <row r="247" spans="2:6" ht="7.9" hidden="1" customHeight="1" thickTop="1" thickBot="1" x14ac:dyDescent="0.35"/>
    <row r="248" spans="2:6" ht="15.6" hidden="1" thickTop="1" thickBot="1" x14ac:dyDescent="0.35">
      <c r="B248" t="s">
        <v>140</v>
      </c>
      <c r="E248" s="3" t="s">
        <v>9</v>
      </c>
      <c r="F248" s="127">
        <f>F222/(1+$F$194)</f>
        <v>0</v>
      </c>
    </row>
  </sheetData>
  <sheetProtection password="DEA6" sheet="1" objects="1" scenarios="1" selectLockedCells="1"/>
  <mergeCells count="7">
    <mergeCell ref="B126:D126"/>
    <mergeCell ref="B138:D138"/>
    <mergeCell ref="B140:D140"/>
    <mergeCell ref="B136:D136"/>
    <mergeCell ref="B142:D142"/>
    <mergeCell ref="B132:D132"/>
    <mergeCell ref="B130:D130"/>
  </mergeCells>
  <dataValidations count="3">
    <dataValidation type="list" allowBlank="1" showInputMessage="1" showErrorMessage="1" sqref="F162 F196">
      <formula1>Betalen</formula1>
    </dataValidation>
    <dataValidation type="list" allowBlank="1" showInputMessage="1" showErrorMessage="1" sqref="D93 D83 D85 D87 D89 D91 D95 D97 D99 D101">
      <formula1>Inbreng</formula1>
    </dataValidation>
    <dataValidation type="list" allowBlank="1" showInputMessage="1" showErrorMessage="1" sqref="F134 F122 F128">
      <formula1>Graceperiod</formula1>
    </dataValidation>
  </dataValidations>
  <pageMargins left="0.70866141732283472" right="0.70866141732283472" top="0.74803149606299213" bottom="0.74803149606299213" header="0.31496062992125984" footer="0.31496062992125984"/>
  <pageSetup paperSize="9" scale="73" orientation="portrait" r:id="rId1"/>
  <rowBreaks count="2" manualBreakCount="2">
    <brk id="61" max="16383" man="1"/>
    <brk id="123"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'Overzicht lijsten'!$A$2:$A$3</xm:f>
          </x14:formula1>
          <xm:sqref>F18 F63 F73 F156</xm:sqref>
        </x14:dataValidation>
        <x14:dataValidation type="list" allowBlank="1" showInputMessage="1" showErrorMessage="1">
          <x14:formula1>
            <xm:f>'Overzicht lijsten'!$D$2:$D$3</xm:f>
          </x14:formula1>
          <xm:sqref>D81</xm:sqref>
        </x14:dataValidation>
        <x14:dataValidation type="list" allowBlank="1" showInputMessage="1" showErrorMessage="1">
          <x14:formula1>
            <xm:f>'Overzicht lijsten'!$E$2:$E$14</xm:f>
          </x14:formula1>
          <xm:sqref>F114</xm:sqref>
        </x14:dataValidation>
        <x14:dataValidation type="list" allowBlank="1" showInputMessage="1" showErrorMessage="1">
          <x14:formula1>
            <xm:f>'Overzicht lijsten'!$B$2:$B$9</xm:f>
          </x14:formula1>
          <xm:sqref>F6 F10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8" tint="-0.249977111117893"/>
  </sheetPr>
  <dimension ref="B1:N30"/>
  <sheetViews>
    <sheetView topLeftCell="A7" zoomScaleNormal="100" zoomScaleSheetLayoutView="70" workbookViewId="0">
      <selection activeCell="C24" sqref="C24"/>
    </sheetView>
  </sheetViews>
  <sheetFormatPr defaultRowHeight="15" x14ac:dyDescent="0.25"/>
  <cols>
    <col min="1" max="1" width="3.7109375" customWidth="1"/>
    <col min="2" max="2" width="33.5703125" customWidth="1"/>
    <col min="3" max="3" width="16.42578125" customWidth="1"/>
    <col min="4" max="5" width="14.7109375" customWidth="1"/>
    <col min="6" max="6" width="7.5703125" customWidth="1"/>
    <col min="7" max="7" width="41" customWidth="1"/>
    <col min="8" max="8" width="14.7109375" style="17" customWidth="1"/>
    <col min="9" max="9" width="5.5703125" style="17" customWidth="1"/>
    <col min="10" max="14" width="8.85546875" style="17"/>
  </cols>
  <sheetData>
    <row r="1" spans="2:8" ht="91.9" customHeight="1" x14ac:dyDescent="0.3">
      <c r="B1" s="7" t="s">
        <v>141</v>
      </c>
      <c r="F1" s="9"/>
    </row>
    <row r="3" spans="2:8" ht="14.45" x14ac:dyDescent="0.3">
      <c r="B3" s="18" t="s">
        <v>142</v>
      </c>
      <c r="C3" s="21" t="s">
        <v>149</v>
      </c>
      <c r="D3" s="21" t="s">
        <v>150</v>
      </c>
      <c r="E3" s="21" t="s">
        <v>151</v>
      </c>
      <c r="G3" s="27" t="s">
        <v>162</v>
      </c>
      <c r="H3" s="28"/>
    </row>
    <row r="4" spans="2:8" ht="14.45" x14ac:dyDescent="0.3">
      <c r="B4" s="19" t="s">
        <v>292</v>
      </c>
      <c r="C4" s="22">
        <f>IF(VRAGENLIJST!D81='Overzicht lijsten'!$D$2,VRAGENLIJST!F81,0)</f>
        <v>0</v>
      </c>
      <c r="D4" s="22">
        <f>IF(VRAGENLIJST!D81="",VRAGENLIJST!F81,IF(VRAGENLIJST!D81='Overzicht lijsten'!$D$3,VRAGENLIJST!F81,0))</f>
        <v>0</v>
      </c>
      <c r="E4" s="145">
        <f>SUM(C4:D4)</f>
        <v>0</v>
      </c>
      <c r="G4" s="19" t="s">
        <v>163</v>
      </c>
      <c r="H4" s="20">
        <f>C19</f>
        <v>0</v>
      </c>
    </row>
    <row r="5" spans="2:8" ht="14.45" x14ac:dyDescent="0.3">
      <c r="B5" s="19" t="s">
        <v>143</v>
      </c>
      <c r="C5" s="22">
        <f>IF(VRAGENLIJST!D83='Overzicht lijsten'!$D$2,VRAGENLIJST!F83,0)+IF(VRAGENLIJST!D87='Overzicht lijsten'!$D$2,VRAGENLIJST!F87,0)</f>
        <v>0</v>
      </c>
      <c r="D5" s="22">
        <f>IF(VRAGENLIJST!D83="",VRAGENLIJST!F83,IF(VRAGENLIJST!D83='Overzicht lijsten'!$D$3,VRAGENLIJST!F83,0))+IF(VRAGENLIJST!D87="",VRAGENLIJST!F87,IF(VRAGENLIJST!D87='Overzicht lijsten'!$D$3,VRAGENLIJST!F87,0))</f>
        <v>0</v>
      </c>
      <c r="E5" s="145">
        <f t="shared" ref="E5:E9" si="0">SUM(C5:D5)</f>
        <v>0</v>
      </c>
      <c r="G5" s="19" t="s">
        <v>164</v>
      </c>
      <c r="H5" s="20">
        <f>VRAGENLIJST!F106</f>
        <v>0</v>
      </c>
    </row>
    <row r="6" spans="2:8" thickBot="1" x14ac:dyDescent="0.35">
      <c r="B6" s="133" t="s">
        <v>293</v>
      </c>
      <c r="C6" s="134">
        <f>IF(VRAGENLIJST!D85='Overzicht lijsten'!$D$2,VRAGENLIJST!F85,0)</f>
        <v>0</v>
      </c>
      <c r="D6" s="134">
        <f>IF(VRAGENLIJST!D85="",VRAGENLIJST!F85,IF(VRAGENLIJST!D85='Overzicht lijsten'!$D$3,VRAGENLIJST!F85,0))</f>
        <v>0</v>
      </c>
      <c r="E6" s="145">
        <f t="shared" si="0"/>
        <v>0</v>
      </c>
      <c r="G6" s="30" t="s">
        <v>165</v>
      </c>
      <c r="H6" s="32">
        <f>VRAGENLIJST!F108</f>
        <v>0</v>
      </c>
    </row>
    <row r="7" spans="2:8" thickTop="1" x14ac:dyDescent="0.3">
      <c r="B7" s="19" t="s">
        <v>144</v>
      </c>
      <c r="C7" s="22">
        <f>IF(VRAGENLIJST!D89='Overzicht lijsten'!$D$2,VRAGENLIJST!F89,0)</f>
        <v>0</v>
      </c>
      <c r="D7" s="22">
        <f>IF(VRAGENLIJST!D89="",VRAGENLIJST!F89,IF(VRAGENLIJST!D89='Overzicht lijsten'!$D$3,VRAGENLIJST!F89,0))</f>
        <v>0</v>
      </c>
      <c r="E7" s="145">
        <f t="shared" si="0"/>
        <v>0</v>
      </c>
      <c r="G7" s="31" t="s">
        <v>166</v>
      </c>
      <c r="H7" s="35">
        <f>SUM(H4:H6)</f>
        <v>0</v>
      </c>
    </row>
    <row r="8" spans="2:8" ht="14.45" x14ac:dyDescent="0.3">
      <c r="B8" s="19" t="s">
        <v>145</v>
      </c>
      <c r="C8" s="22">
        <f>IF(VRAGENLIJST!D91='Overzicht lijsten'!$D$2,VRAGENLIJST!F91,0)</f>
        <v>0</v>
      </c>
      <c r="D8" s="22">
        <f>IF(VRAGENLIJST!D91="",VRAGENLIJST!F91,IF(VRAGENLIJST!D91='Overzicht lijsten'!$D$3,VRAGENLIJST!F91,0))</f>
        <v>0</v>
      </c>
      <c r="E8" s="145">
        <f t="shared" si="0"/>
        <v>0</v>
      </c>
    </row>
    <row r="9" spans="2:8" ht="14.45" x14ac:dyDescent="0.3">
      <c r="B9" s="19" t="s">
        <v>152</v>
      </c>
      <c r="C9" s="22">
        <f>IF(VRAGENLIJST!D97='Overzicht lijsten'!$D$2,VRAGENLIJST!F97,0)+IF(VRAGENLIJST!D99='Overzicht lijsten'!$D$2,VRAGENLIJST!F99,0)</f>
        <v>0</v>
      </c>
      <c r="D9" s="22">
        <f>IF(VRAGENLIJST!D97="",VRAGENLIJST!F97,IF(VRAGENLIJST!D97='Overzicht lijsten'!$D$3,VRAGENLIJST!F97,0))+IF(VRAGENLIJST!D99="",VRAGENLIJST!F99,IF(VRAGENLIJST!D99='Overzicht lijsten'!$D$3,VRAGENLIJST!F99,0))</f>
        <v>0</v>
      </c>
      <c r="E9" s="145">
        <f t="shared" si="0"/>
        <v>0</v>
      </c>
    </row>
    <row r="10" spans="2:8" ht="14.45" x14ac:dyDescent="0.3">
      <c r="G10" s="27" t="s">
        <v>167</v>
      </c>
      <c r="H10" s="28"/>
    </row>
    <row r="11" spans="2:8" x14ac:dyDescent="0.25">
      <c r="B11" s="18" t="s">
        <v>146</v>
      </c>
      <c r="C11" s="21"/>
      <c r="D11" s="21"/>
      <c r="E11" s="21"/>
      <c r="G11" s="19" t="s">
        <v>295</v>
      </c>
      <c r="H11" s="20">
        <f>VRAGENLIJST!F116</f>
        <v>0</v>
      </c>
    </row>
    <row r="12" spans="2:8" thickBot="1" x14ac:dyDescent="0.35">
      <c r="B12" s="19" t="s">
        <v>147</v>
      </c>
      <c r="C12" s="22">
        <f>IF(VRAGENLIJST!D93='Overzicht lijsten'!$D$2,VRAGENLIJST!F93,0)</f>
        <v>0</v>
      </c>
      <c r="D12" s="22">
        <f>IF(VRAGENLIJST!D93="",VRAGENLIJST!F93,IF(VRAGENLIJST!D93='Overzicht lijsten'!$D$3,VRAGENLIJST!F93,0))</f>
        <v>0</v>
      </c>
      <c r="E12" s="145">
        <f>SUM(C12:D12)</f>
        <v>0</v>
      </c>
      <c r="G12" s="19" t="s">
        <v>296</v>
      </c>
      <c r="H12" s="20">
        <f>IF(D19-H7-H11&lt;0,0,D19-H7-H11)</f>
        <v>0</v>
      </c>
    </row>
    <row r="13" spans="2:8" thickTop="1" x14ac:dyDescent="0.3">
      <c r="B13" s="19" t="s">
        <v>191</v>
      </c>
      <c r="C13" s="22">
        <f>IF(VRAGENLIJST!D95='Overzicht lijsten'!$D$2,VRAGENLIJST!F95,0)</f>
        <v>0</v>
      </c>
      <c r="D13" s="22">
        <f>IF(VRAGENLIJST!D95="",VRAGENLIJST!F95,IF(VRAGENLIJST!D95='Overzicht lijsten'!$D$3,VRAGENLIJST!F95,0))</f>
        <v>0</v>
      </c>
      <c r="E13" s="145">
        <f t="shared" ref="E13:E14" si="1">SUM(C13:D13)</f>
        <v>0</v>
      </c>
      <c r="G13" s="31" t="s">
        <v>168</v>
      </c>
      <c r="H13" s="35">
        <f>SUM(H11:H12)</f>
        <v>0</v>
      </c>
    </row>
    <row r="14" spans="2:8" ht="14.45" x14ac:dyDescent="0.3">
      <c r="B14" s="19" t="s">
        <v>148</v>
      </c>
      <c r="C14" s="23"/>
      <c r="D14" s="22">
        <f>VRAGENLIJST!F101</f>
        <v>0</v>
      </c>
      <c r="E14" s="145">
        <f t="shared" si="1"/>
        <v>0</v>
      </c>
    </row>
    <row r="16" spans="2:8" ht="14.45" x14ac:dyDescent="0.3">
      <c r="B16" s="18" t="s">
        <v>153</v>
      </c>
      <c r="C16" s="21"/>
      <c r="D16" s="21"/>
      <c r="E16" s="21"/>
    </row>
    <row r="17" spans="2:8" thickBot="1" x14ac:dyDescent="0.35">
      <c r="B17" s="19" t="s">
        <v>154</v>
      </c>
      <c r="C17" s="23"/>
      <c r="D17" s="22">
        <f>VRAGENLIJST!F103</f>
        <v>0</v>
      </c>
      <c r="E17" s="145">
        <f t="shared" ref="E17" si="2">SUM(C17:D17)</f>
        <v>0</v>
      </c>
    </row>
    <row r="18" spans="2:8" ht="15.6" thickTop="1" thickBot="1" x14ac:dyDescent="0.35">
      <c r="G18" s="25" t="s">
        <v>151</v>
      </c>
      <c r="H18" s="36">
        <f>H7+H13</f>
        <v>0</v>
      </c>
    </row>
    <row r="19" spans="2:8" ht="15.6" thickTop="1" thickBot="1" x14ac:dyDescent="0.35">
      <c r="B19" s="25" t="s">
        <v>155</v>
      </c>
      <c r="C19" s="33">
        <f>SUM(C4:C18)</f>
        <v>0</v>
      </c>
      <c r="D19" s="33">
        <f>SUM(D4:D18)</f>
        <v>0</v>
      </c>
      <c r="E19" s="34">
        <f>SUM(E4:E18)</f>
        <v>0</v>
      </c>
    </row>
    <row r="20" spans="2:8" thickTop="1" x14ac:dyDescent="0.3"/>
    <row r="21" spans="2:8" thickBot="1" x14ac:dyDescent="0.35">
      <c r="C21" s="26" t="s">
        <v>156</v>
      </c>
      <c r="G21" s="18" t="s">
        <v>169</v>
      </c>
      <c r="H21" s="21"/>
    </row>
    <row r="22" spans="2:8" ht="16.5" thickTop="1" thickBot="1" x14ac:dyDescent="0.3">
      <c r="C22" s="37">
        <f>SUM(D4:D13,D17)+VRAGENLIJST!F101-'Investering &amp; Financiering'!H5-'Investering &amp; Financiering'!H6-'Investering &amp; Financiering'!H11</f>
        <v>0</v>
      </c>
      <c r="G22" s="19" t="s">
        <v>177</v>
      </c>
      <c r="H22" s="20">
        <f>C24</f>
        <v>25000</v>
      </c>
    </row>
    <row r="23" spans="2:8" ht="16.5" thickTop="1" thickBot="1" x14ac:dyDescent="0.3">
      <c r="C23" s="26" t="s">
        <v>286</v>
      </c>
      <c r="G23" s="18" t="s">
        <v>170</v>
      </c>
      <c r="H23" s="21"/>
    </row>
    <row r="24" spans="2:8" ht="16.5" thickTop="1" thickBot="1" x14ac:dyDescent="0.3">
      <c r="B24" s="3" t="s">
        <v>9</v>
      </c>
      <c r="C24" s="153">
        <v>25000</v>
      </c>
      <c r="G24" s="19" t="s">
        <v>171</v>
      </c>
      <c r="H24" s="38">
        <v>0.06</v>
      </c>
    </row>
    <row r="25" spans="2:8" ht="15.75" thickTop="1" x14ac:dyDescent="0.25">
      <c r="G25" s="19" t="s">
        <v>172</v>
      </c>
      <c r="H25" s="39">
        <f>C27</f>
        <v>4</v>
      </c>
    </row>
    <row r="26" spans="2:8" thickBot="1" x14ac:dyDescent="0.35">
      <c r="C26" s="26" t="s">
        <v>157</v>
      </c>
      <c r="G26" s="19" t="s">
        <v>173</v>
      </c>
      <c r="H26" s="39">
        <f>C29</f>
        <v>4</v>
      </c>
    </row>
    <row r="27" spans="2:8" ht="15.6" thickTop="1" thickBot="1" x14ac:dyDescent="0.35">
      <c r="B27" s="3" t="s">
        <v>12</v>
      </c>
      <c r="C27" s="179">
        <v>4</v>
      </c>
      <c r="D27" t="s">
        <v>158</v>
      </c>
      <c r="G27" s="18" t="s">
        <v>174</v>
      </c>
      <c r="H27" s="21"/>
    </row>
    <row r="28" spans="2:8" ht="15.6" thickTop="1" thickBot="1" x14ac:dyDescent="0.35">
      <c r="C28" s="26" t="s">
        <v>294</v>
      </c>
      <c r="G28" s="19" t="s">
        <v>175</v>
      </c>
      <c r="H28" s="51">
        <f>'Maandlasten IPK'!C9</f>
        <v>621.78</v>
      </c>
    </row>
    <row r="29" spans="2:8" ht="15.6" thickTop="1" thickBot="1" x14ac:dyDescent="0.35">
      <c r="B29" s="3" t="s">
        <v>12</v>
      </c>
      <c r="C29" s="144">
        <v>4</v>
      </c>
      <c r="D29" t="s">
        <v>159</v>
      </c>
      <c r="G29" s="19" t="s">
        <v>176</v>
      </c>
      <c r="H29" s="51">
        <f>'Maandlasten IPK'!J3</f>
        <v>590.73124999999982</v>
      </c>
    </row>
    <row r="30" spans="2:8" ht="15.75" thickTop="1" x14ac:dyDescent="0.25"/>
  </sheetData>
  <sheetProtection password="DEA6" sheet="1" objects="1" scenarios="1" selectLockedCells="1"/>
  <dataValidations count="2">
    <dataValidation type="list" allowBlank="1" showInputMessage="1" showErrorMessage="1" sqref="C27">
      <formula1>Looptijd</formula1>
    </dataValidation>
    <dataValidation type="list" allowBlank="1" showInputMessage="1" showErrorMessage="1" sqref="C29">
      <formula1>Maanden6</formula1>
    </dataValidation>
  </dataValidations>
  <pageMargins left="0.7" right="0.7" top="0.75" bottom="0.75" header="0.3" footer="0.3"/>
  <pageSetup paperSize="9" scale="8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N11"/>
  <sheetViews>
    <sheetView zoomScaleNormal="100" zoomScaleSheetLayoutView="70" workbookViewId="0">
      <selection activeCell="E8" sqref="E8"/>
    </sheetView>
  </sheetViews>
  <sheetFormatPr defaultRowHeight="15" x14ac:dyDescent="0.25"/>
  <cols>
    <col min="1" max="1" width="2.28515625" customWidth="1"/>
    <col min="2" max="2" width="28.7109375" customWidth="1"/>
    <col min="3" max="3" width="16.7109375" customWidth="1"/>
    <col min="4" max="4" width="16.140625" customWidth="1"/>
    <col min="5" max="5" width="14.140625" customWidth="1"/>
    <col min="6" max="6" width="17.5703125" customWidth="1"/>
  </cols>
  <sheetData>
    <row r="1" spans="2:14" ht="91.9" customHeight="1" x14ac:dyDescent="0.3">
      <c r="B1" s="7" t="s">
        <v>270</v>
      </c>
      <c r="F1" s="9"/>
      <c r="H1" s="17"/>
      <c r="I1" s="17"/>
      <c r="J1" s="17"/>
      <c r="K1" s="17"/>
      <c r="L1" s="17"/>
      <c r="M1" s="17"/>
      <c r="N1" s="17"/>
    </row>
    <row r="4" spans="2:14" s="124" customFormat="1" ht="28.9" x14ac:dyDescent="0.3">
      <c r="B4" s="130" t="s">
        <v>271</v>
      </c>
      <c r="C4" s="131" t="s">
        <v>272</v>
      </c>
      <c r="D4" s="131" t="s">
        <v>273</v>
      </c>
      <c r="E4" s="132" t="s">
        <v>274</v>
      </c>
      <c r="F4" s="132" t="s">
        <v>275</v>
      </c>
    </row>
    <row r="5" spans="2:14" ht="14.45" x14ac:dyDescent="0.3">
      <c r="B5" s="133" t="s">
        <v>292</v>
      </c>
      <c r="C5" s="134">
        <f>'Investering &amp; Financiering'!E4</f>
        <v>0</v>
      </c>
      <c r="D5" s="134">
        <f>C5/1.21</f>
        <v>0</v>
      </c>
      <c r="E5" s="160"/>
      <c r="F5" s="134">
        <f>C5*E5</f>
        <v>0</v>
      </c>
    </row>
    <row r="6" spans="2:14" ht="14.45" x14ac:dyDescent="0.3">
      <c r="B6" s="133" t="s">
        <v>143</v>
      </c>
      <c r="C6" s="134">
        <f>'Investering &amp; Financiering'!E5</f>
        <v>0</v>
      </c>
      <c r="D6" s="134">
        <f t="shared" ref="D6:D10" si="0">C6/1.21</f>
        <v>0</v>
      </c>
      <c r="E6" s="160"/>
      <c r="F6" s="134">
        <f t="shared" ref="F6:F10" si="1">D6*E6</f>
        <v>0</v>
      </c>
    </row>
    <row r="7" spans="2:14" ht="14.45" x14ac:dyDescent="0.3">
      <c r="B7" s="133" t="s">
        <v>293</v>
      </c>
      <c r="C7" s="134">
        <f>'Investering &amp; Financiering'!E6</f>
        <v>0</v>
      </c>
      <c r="D7" s="134">
        <f t="shared" si="0"/>
        <v>0</v>
      </c>
      <c r="E7" s="160"/>
      <c r="F7" s="134">
        <f t="shared" si="1"/>
        <v>0</v>
      </c>
    </row>
    <row r="8" spans="2:14" ht="14.45" x14ac:dyDescent="0.3">
      <c r="B8" s="133" t="s">
        <v>144</v>
      </c>
      <c r="C8" s="134">
        <f>'Investering &amp; Financiering'!E7</f>
        <v>0</v>
      </c>
      <c r="D8" s="134">
        <f t="shared" si="0"/>
        <v>0</v>
      </c>
      <c r="E8" s="160"/>
      <c r="F8" s="134">
        <f t="shared" si="1"/>
        <v>0</v>
      </c>
    </row>
    <row r="9" spans="2:14" ht="14.45" x14ac:dyDescent="0.3">
      <c r="B9" s="133" t="s">
        <v>145</v>
      </c>
      <c r="C9" s="134">
        <f>'Investering &amp; Financiering'!E8</f>
        <v>0</v>
      </c>
      <c r="D9" s="134">
        <f t="shared" si="0"/>
        <v>0</v>
      </c>
      <c r="E9" s="160"/>
      <c r="F9" s="134">
        <f t="shared" si="1"/>
        <v>0</v>
      </c>
    </row>
    <row r="10" spans="2:14" thickBot="1" x14ac:dyDescent="0.35">
      <c r="B10" s="135" t="s">
        <v>152</v>
      </c>
      <c r="C10" s="134">
        <f>'Investering &amp; Financiering'!E9</f>
        <v>0</v>
      </c>
      <c r="D10" s="134">
        <f t="shared" si="0"/>
        <v>0</v>
      </c>
      <c r="E10" s="161"/>
      <c r="F10" s="136">
        <f t="shared" si="1"/>
        <v>0</v>
      </c>
    </row>
    <row r="11" spans="2:14" thickBot="1" x14ac:dyDescent="0.35">
      <c r="B11" s="137" t="s">
        <v>151</v>
      </c>
      <c r="C11" s="138">
        <f>SUM(C5:C10)</f>
        <v>0</v>
      </c>
      <c r="D11" s="138">
        <f>SUM(D5:D10)</f>
        <v>0</v>
      </c>
      <c r="E11" s="139"/>
      <c r="F11" s="140">
        <f>SUM(F5:F10)</f>
        <v>0</v>
      </c>
    </row>
  </sheetData>
  <sheetProtection password="DEA6" sheet="1" objects="1" scenarios="1" selectLockedCells="1"/>
  <dataValidations count="1">
    <dataValidation type="list" allowBlank="1" showInputMessage="1" showErrorMessage="1" sqref="E5:E10">
      <formula1>Afschrijvingen</formula1>
    </dataValidation>
  </dataValidations>
  <pageMargins left="0.7" right="0.7" top="0.75" bottom="0.75" header="0.3" footer="0.3"/>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9" tint="0.39997558519241921"/>
  </sheetPr>
  <dimension ref="B1:P36"/>
  <sheetViews>
    <sheetView tabSelected="1" zoomScale="90" zoomScaleNormal="90" zoomScaleSheetLayoutView="70" workbookViewId="0">
      <selection activeCell="D12" sqref="D12"/>
    </sheetView>
  </sheetViews>
  <sheetFormatPr defaultRowHeight="15" x14ac:dyDescent="0.25"/>
  <cols>
    <col min="1" max="1" width="3.140625" customWidth="1"/>
    <col min="2" max="2" width="28" customWidth="1"/>
    <col min="3" max="16" width="12.28515625" customWidth="1"/>
    <col min="17" max="17" width="4" customWidth="1"/>
  </cols>
  <sheetData>
    <row r="1" spans="2:16" ht="91.9" customHeight="1" x14ac:dyDescent="0.3">
      <c r="B1" s="7" t="s">
        <v>178</v>
      </c>
      <c r="F1" s="9"/>
      <c r="H1" s="17"/>
      <c r="I1" s="17"/>
      <c r="J1" s="17"/>
      <c r="K1" s="17"/>
      <c r="L1" s="17"/>
      <c r="M1" s="17"/>
      <c r="N1" s="17"/>
    </row>
    <row r="3" spans="2:16" ht="14.45" x14ac:dyDescent="0.3">
      <c r="B3" s="18" t="s">
        <v>179</v>
      </c>
      <c r="C3" s="21">
        <v>0</v>
      </c>
      <c r="D3" s="21">
        <v>1</v>
      </c>
      <c r="E3" s="21">
        <v>2</v>
      </c>
      <c r="F3" s="21">
        <v>3</v>
      </c>
      <c r="G3" s="21">
        <v>4</v>
      </c>
      <c r="H3" s="21">
        <v>5</v>
      </c>
      <c r="I3" s="21">
        <v>6</v>
      </c>
      <c r="J3" s="21">
        <v>7</v>
      </c>
      <c r="K3" s="21">
        <v>8</v>
      </c>
      <c r="L3" s="21">
        <v>9</v>
      </c>
      <c r="M3" s="21">
        <v>10</v>
      </c>
      <c r="N3" s="21">
        <v>11</v>
      </c>
      <c r="O3" s="21">
        <v>12</v>
      </c>
      <c r="P3" s="21" t="s">
        <v>151</v>
      </c>
    </row>
    <row r="5" spans="2:16" ht="14.45" x14ac:dyDescent="0.3">
      <c r="B5" s="24" t="s">
        <v>297</v>
      </c>
      <c r="C5" s="54"/>
      <c r="D5" s="53">
        <f>C35</f>
        <v>24250</v>
      </c>
      <c r="E5" s="53">
        <f t="shared" ref="E5:O5" si="0">D35</f>
        <v>24125</v>
      </c>
      <c r="F5" s="53">
        <f t="shared" si="0"/>
        <v>24000</v>
      </c>
      <c r="G5" s="53">
        <f t="shared" si="0"/>
        <v>23875</v>
      </c>
      <c r="H5" s="53">
        <f t="shared" si="0"/>
        <v>23253.22</v>
      </c>
      <c r="I5" s="53">
        <f t="shared" si="0"/>
        <v>22631.440000000002</v>
      </c>
      <c r="J5" s="53">
        <f t="shared" si="0"/>
        <v>22009.660000000003</v>
      </c>
      <c r="K5" s="53">
        <f t="shared" si="0"/>
        <v>21387.880000000005</v>
      </c>
      <c r="L5" s="53">
        <f t="shared" si="0"/>
        <v>20766.100000000006</v>
      </c>
      <c r="M5" s="53">
        <f t="shared" si="0"/>
        <v>20144.320000000007</v>
      </c>
      <c r="N5" s="53">
        <f t="shared" si="0"/>
        <v>19522.540000000008</v>
      </c>
      <c r="O5" s="53">
        <f t="shared" si="0"/>
        <v>18900.760000000009</v>
      </c>
      <c r="P5" s="53"/>
    </row>
    <row r="6" spans="2:16" ht="14.45" x14ac:dyDescent="0.3">
      <c r="C6" s="55"/>
      <c r="D6" s="55"/>
      <c r="E6" s="55"/>
      <c r="F6" s="55"/>
      <c r="G6" s="55"/>
      <c r="H6" s="55"/>
      <c r="I6" s="55"/>
      <c r="J6" s="55"/>
      <c r="K6" s="55"/>
      <c r="L6" s="55"/>
      <c r="M6" s="55"/>
      <c r="N6" s="55"/>
      <c r="O6" s="55"/>
      <c r="P6" s="55"/>
    </row>
    <row r="7" spans="2:16" ht="14.45" x14ac:dyDescent="0.3">
      <c r="B7" s="40" t="s">
        <v>180</v>
      </c>
      <c r="C7" s="56"/>
      <c r="D7" s="56"/>
      <c r="E7" s="56"/>
      <c r="F7" s="56"/>
      <c r="G7" s="56"/>
      <c r="H7" s="56"/>
      <c r="I7" s="56"/>
      <c r="J7" s="56"/>
      <c r="K7" s="56"/>
      <c r="L7" s="56"/>
      <c r="M7" s="56"/>
      <c r="N7" s="56"/>
      <c r="O7" s="56"/>
      <c r="P7" s="57"/>
    </row>
    <row r="8" spans="2:16" ht="14.45" x14ac:dyDescent="0.3">
      <c r="B8" s="19" t="s">
        <v>177</v>
      </c>
      <c r="C8" s="58">
        <f>'Maandlasten IPK'!C5-'Maandlasten IPK'!C6</f>
        <v>24250</v>
      </c>
      <c r="D8" s="55"/>
      <c r="E8" s="55"/>
      <c r="F8" s="55"/>
      <c r="G8" s="55"/>
      <c r="H8" s="55"/>
      <c r="I8" s="55"/>
      <c r="J8" s="55"/>
      <c r="K8" s="55"/>
      <c r="L8" s="55"/>
      <c r="M8" s="55"/>
      <c r="N8" s="55"/>
      <c r="O8" s="55"/>
      <c r="P8" s="54">
        <f>SUM(C8:O8)</f>
        <v>24250</v>
      </c>
    </row>
    <row r="9" spans="2:16" ht="14.45" x14ac:dyDescent="0.3">
      <c r="B9" s="19" t="s">
        <v>181</v>
      </c>
      <c r="C9" s="58">
        <f>VRAGENLIJST!F106</f>
        <v>0</v>
      </c>
      <c r="D9" s="55"/>
      <c r="E9" s="55"/>
      <c r="F9" s="55"/>
      <c r="G9" s="55"/>
      <c r="H9" s="55"/>
      <c r="I9" s="55"/>
      <c r="J9" s="55"/>
      <c r="K9" s="55"/>
      <c r="L9" s="55"/>
      <c r="M9" s="55"/>
      <c r="N9" s="55"/>
      <c r="O9" s="55"/>
      <c r="P9" s="54">
        <f t="shared" ref="P9:P11" si="1">SUM(C9:O9)</f>
        <v>0</v>
      </c>
    </row>
    <row r="10" spans="2:16" ht="14.45" x14ac:dyDescent="0.3">
      <c r="B10" s="19" t="s">
        <v>182</v>
      </c>
      <c r="C10" s="58">
        <f>VRAGENLIJST!F108+VRAGENLIJST!F116</f>
        <v>0</v>
      </c>
      <c r="D10" s="55"/>
      <c r="E10" s="55"/>
      <c r="F10" s="55"/>
      <c r="G10" s="55"/>
      <c r="H10" s="55"/>
      <c r="I10" s="55"/>
      <c r="J10" s="55"/>
      <c r="K10" s="55"/>
      <c r="L10" s="55"/>
      <c r="M10" s="55"/>
      <c r="N10" s="55"/>
      <c r="O10" s="55"/>
      <c r="P10" s="54">
        <f t="shared" si="1"/>
        <v>0</v>
      </c>
    </row>
    <row r="11" spans="2:16" ht="14.45" x14ac:dyDescent="0.3">
      <c r="B11" s="19" t="s">
        <v>183</v>
      </c>
      <c r="C11" s="55"/>
      <c r="D11" s="58">
        <f>IF(D$3=D$3+'Overzicht lijsten'!$I$1,VRAGENLIJST!$F226,0)</f>
        <v>0</v>
      </c>
      <c r="E11" s="58">
        <f>IF(E$3=D$3+'Overzicht lijsten'!$I$1,VRAGENLIJST!F226,IF(E$3=E$3+'Overzicht lijsten'!$I$1,VRAGENLIJST!F228,0))</f>
        <v>0</v>
      </c>
      <c r="F11" s="58">
        <f>IF(F$3=D$3+'Overzicht lijsten'!$I$1,VRAGENLIJST!F226,IF(F$3=E$3+'Overzicht lijsten'!$I$1,VRAGENLIJST!F228,IF(F$3=F$3+'Overzicht lijsten'!$I$1,VRAGENLIJST!F230,0)))</f>
        <v>0</v>
      </c>
      <c r="G11" s="58">
        <f>IF(G$3=E$3+'Overzicht lijsten'!$I$1,VRAGENLIJST!F226,IF(G$3=F$3+'Overzicht lijsten'!$I$1,VRAGENLIJST!F228,IF(G$3=G$3+'Overzicht lijsten'!$I$1,VRAGENLIJST!F232,0)))</f>
        <v>0</v>
      </c>
      <c r="H11" s="58">
        <f>IF(H$3=F$3+'Overzicht lijsten'!$I$1,VRAGENLIJST!F230*1,IF(H$3=G$3+'Overzicht lijsten'!$I$1,VRAGENLIJST!F232*1,IF(H$3=H$3+'Overzicht lijsten'!$I$1,VRAGENLIJST!F234*1,0)))</f>
        <v>0</v>
      </c>
      <c r="I11" s="58">
        <f>IF(I$3=G$3+'Overzicht lijsten'!$I$1,VRAGENLIJST!F232*1,IF(I$3=H$3+'Overzicht lijsten'!$I$1,VRAGENLIJST!F234*1,IF(I$3=I$3+'Overzicht lijsten'!$I$1,VRAGENLIJST!F236*1,0)))</f>
        <v>0</v>
      </c>
      <c r="J11" s="58">
        <f>IF(J$3=H$3+'Overzicht lijsten'!$I$1,VRAGENLIJST!F234*1,IF(J$3=I$3+'Overzicht lijsten'!$I$1,VRAGENLIJST!F236*1,IF(J$3=J$3+'Overzicht lijsten'!$I$1,VRAGENLIJST!F238*1,0)))</f>
        <v>0</v>
      </c>
      <c r="K11" s="58">
        <f>IF(K$3=I$3+'Overzicht lijsten'!$I$1,VRAGENLIJST!F236*1,IF(K$3=J$3+'Overzicht lijsten'!$I$1,VRAGENLIJST!F238*1,IF(K$3=K$3+'Overzicht lijsten'!$I$1,VRAGENLIJST!F240*1,0)))</f>
        <v>0</v>
      </c>
      <c r="L11" s="58">
        <f>IF(L$3=J$3+'Overzicht lijsten'!$I$1,VRAGENLIJST!F238*1,IF(L$3=K$3+'Overzicht lijsten'!$I$1,VRAGENLIJST!F240*1,IF(L$3=L$3+'Overzicht lijsten'!$I$1,VRAGENLIJST!F242*1,0)))</f>
        <v>0</v>
      </c>
      <c r="M11" s="58">
        <f>IF(M$3=K$3+'Overzicht lijsten'!$I$1,VRAGENLIJST!F240*1,IF(M$3=L$3+'Overzicht lijsten'!$I$1,VRAGENLIJST!F242*1,IF(M$3=M$3+'Overzicht lijsten'!$I$1,VRAGENLIJST!F244*1,0)))</f>
        <v>0</v>
      </c>
      <c r="N11" s="58">
        <f>IF(N$3=L$3+'Overzicht lijsten'!$I$1,VRAGENLIJST!F242*1,IF(N$3=M$3+'Overzicht lijsten'!$I$1,VRAGENLIJST!F244*1,IF(N$3=N$3+'Overzicht lijsten'!$I$1,VRAGENLIJST!F246*1,0)))</f>
        <v>0</v>
      </c>
      <c r="O11" s="58">
        <f>IF(O$3=M$3+'Overzicht lijsten'!$I$1,VRAGENLIJST!F244*1,IF(O$3=N$3+'Overzicht lijsten'!$I$1,VRAGENLIJST!F246*1,IF(O$3=O$3+'Overzicht lijsten'!$I$1,VRAGENLIJST!F248*1,0)))</f>
        <v>0</v>
      </c>
      <c r="P11" s="54">
        <f t="shared" si="1"/>
        <v>0</v>
      </c>
    </row>
    <row r="12" spans="2:16" thickBot="1" x14ac:dyDescent="0.35">
      <c r="B12" s="30" t="s">
        <v>115</v>
      </c>
      <c r="C12" s="55"/>
      <c r="D12" s="59">
        <f>D11*VRAGENLIJST!$F$194</f>
        <v>0</v>
      </c>
      <c r="E12" s="59">
        <f>E11*VRAGENLIJST!$F$194</f>
        <v>0</v>
      </c>
      <c r="F12" s="59">
        <f>F11*VRAGENLIJST!$F$194</f>
        <v>0</v>
      </c>
      <c r="G12" s="59">
        <f>G11*VRAGENLIJST!$F$194</f>
        <v>0</v>
      </c>
      <c r="H12" s="59">
        <f>H11*VRAGENLIJST!$F$194</f>
        <v>0</v>
      </c>
      <c r="I12" s="59">
        <f>I11*VRAGENLIJST!$F$194</f>
        <v>0</v>
      </c>
      <c r="J12" s="59">
        <f>J11*VRAGENLIJST!$F$194</f>
        <v>0</v>
      </c>
      <c r="K12" s="59">
        <f>K11*VRAGENLIJST!$F$194</f>
        <v>0</v>
      </c>
      <c r="L12" s="59">
        <f>L11*VRAGENLIJST!$F$194</f>
        <v>0</v>
      </c>
      <c r="M12" s="59">
        <f>M11*VRAGENLIJST!$F$194</f>
        <v>0</v>
      </c>
      <c r="N12" s="59">
        <f>N11*VRAGENLIJST!$F$194</f>
        <v>0</v>
      </c>
      <c r="O12" s="59">
        <f>O11*VRAGENLIJST!$F$194</f>
        <v>0</v>
      </c>
      <c r="P12" s="60">
        <f>SUM(C12:O12)</f>
        <v>0</v>
      </c>
    </row>
    <row r="13" spans="2:16" ht="15.6" thickTop="1" thickBot="1" x14ac:dyDescent="0.35">
      <c r="B13" s="25" t="s">
        <v>184</v>
      </c>
      <c r="C13" s="64">
        <f>SUM(C8:C12)</f>
        <v>24250</v>
      </c>
      <c r="D13" s="64">
        <f t="shared" ref="D13:P13" si="2">SUM(D8:D12)</f>
        <v>0</v>
      </c>
      <c r="E13" s="64">
        <f t="shared" si="2"/>
        <v>0</v>
      </c>
      <c r="F13" s="64">
        <f t="shared" si="2"/>
        <v>0</v>
      </c>
      <c r="G13" s="64">
        <f t="shared" si="2"/>
        <v>0</v>
      </c>
      <c r="H13" s="64">
        <f t="shared" si="2"/>
        <v>0</v>
      </c>
      <c r="I13" s="64">
        <f t="shared" si="2"/>
        <v>0</v>
      </c>
      <c r="J13" s="64">
        <f t="shared" si="2"/>
        <v>0</v>
      </c>
      <c r="K13" s="64">
        <f t="shared" si="2"/>
        <v>0</v>
      </c>
      <c r="L13" s="64">
        <f t="shared" si="2"/>
        <v>0</v>
      </c>
      <c r="M13" s="64">
        <f t="shared" si="2"/>
        <v>0</v>
      </c>
      <c r="N13" s="64">
        <f t="shared" si="2"/>
        <v>0</v>
      </c>
      <c r="O13" s="64">
        <f t="shared" si="2"/>
        <v>0</v>
      </c>
      <c r="P13" s="61">
        <f t="shared" si="2"/>
        <v>24250</v>
      </c>
    </row>
    <row r="14" spans="2:16" thickTop="1" x14ac:dyDescent="0.3">
      <c r="C14" s="55"/>
      <c r="D14" s="55"/>
      <c r="E14" s="55"/>
      <c r="F14" s="55"/>
      <c r="G14" s="55"/>
      <c r="H14" s="55"/>
      <c r="I14" s="55"/>
      <c r="J14" s="55"/>
      <c r="K14" s="55"/>
      <c r="L14" s="55"/>
      <c r="M14" s="55"/>
      <c r="N14" s="55"/>
      <c r="O14" s="55"/>
      <c r="P14" s="55"/>
    </row>
    <row r="15" spans="2:16" ht="14.45" x14ac:dyDescent="0.3">
      <c r="B15" s="40" t="s">
        <v>185</v>
      </c>
      <c r="C15" s="62"/>
      <c r="D15" s="56"/>
      <c r="E15" s="56"/>
      <c r="F15" s="56"/>
      <c r="G15" s="56"/>
      <c r="H15" s="56"/>
      <c r="I15" s="56"/>
      <c r="J15" s="56"/>
      <c r="K15" s="56"/>
      <c r="L15" s="56"/>
      <c r="M15" s="56"/>
      <c r="N15" s="56"/>
      <c r="O15" s="56"/>
      <c r="P15" s="57"/>
    </row>
    <row r="16" spans="2:16" ht="14.45" x14ac:dyDescent="0.3">
      <c r="B16" s="19" t="s">
        <v>186</v>
      </c>
      <c r="C16" s="58">
        <f>SUM('Investering &amp; Financiering'!D4:D9,'Investering &amp; Financiering'!D17)/1.21</f>
        <v>0</v>
      </c>
      <c r="D16" s="55"/>
      <c r="E16" s="55"/>
      <c r="F16" s="55"/>
      <c r="G16" s="55"/>
      <c r="H16" s="55"/>
      <c r="I16" s="55"/>
      <c r="J16" s="55"/>
      <c r="K16" s="55"/>
      <c r="L16" s="55"/>
      <c r="M16" s="55"/>
      <c r="N16" s="55"/>
      <c r="O16" s="55"/>
      <c r="P16" s="54">
        <f>SUM(C16:O16)</f>
        <v>0</v>
      </c>
    </row>
    <row r="17" spans="2:16" ht="14.45" x14ac:dyDescent="0.3">
      <c r="B17" s="19" t="s">
        <v>187</v>
      </c>
      <c r="C17" s="58">
        <f>IF(VRAGENLIJST!D93='Overzicht lijsten'!$D$2,0,VRAGENLIJST!F93)/(1+VRAGENLIJST!$F$160)</f>
        <v>0</v>
      </c>
      <c r="D17" s="58">
        <f>(IF(D$3=D$3+'Overzicht lijsten'!$I$2,VRAGENLIJST!$F166,0))/(1+VRAGENLIJST!$F$160)</f>
        <v>0</v>
      </c>
      <c r="E17" s="58">
        <f>(IF(E$3=D$3+'Overzicht lijsten'!$I$2,VRAGENLIJST!$F166,IF(E$3=E$3+'Overzicht lijsten'!$I$2,VRAGENLIJST!$F168,0)))/(1+VRAGENLIJST!$F$160)</f>
        <v>0</v>
      </c>
      <c r="F17" s="58">
        <f>(IF(F$3=D$3+'Overzicht lijsten'!$I$2,VRAGENLIJST!$F166,IF(F$3=E$3+'Overzicht lijsten'!$I$2,VRAGENLIJST!$F168,IF(F$3=F$3+'Overzicht lijsten'!$I$2,VRAGENLIJST!$F170,0))))/(1+VRAGENLIJST!$F$160)</f>
        <v>0</v>
      </c>
      <c r="G17" s="58">
        <f>(IF(G$3=E$3+'Overzicht lijsten'!$I$2,VRAGENLIJST!$F168,IF(G$3=F$3+'Overzicht lijsten'!$I$2,VRAGENLIJST!$F170,IF(G$3=G$3+'Overzicht lijsten'!$I$2,VRAGENLIJST!$F172,0))))/(1+VRAGENLIJST!$F$160)</f>
        <v>0</v>
      </c>
      <c r="H17" s="58">
        <f>(IF(H$3=F$3+'Overzicht lijsten'!$I$2,VRAGENLIJST!$F170,IF(H$3=G$3+'Overzicht lijsten'!$I$2,VRAGENLIJST!$F172,IF(H$3=H$3+'Overzicht lijsten'!$I$2,VRAGENLIJST!$F174,0))))/(1+VRAGENLIJST!$F$160)</f>
        <v>0</v>
      </c>
      <c r="I17" s="58">
        <f>(IF(I$3=G$3+'Overzicht lijsten'!$I$2,VRAGENLIJST!$F172,IF(I$3=H$3+'Overzicht lijsten'!$I$2,VRAGENLIJST!$F174,IF(I$3=I$3+'Overzicht lijsten'!$I$2,VRAGENLIJST!$F176,0))))/(1+VRAGENLIJST!$F$160)</f>
        <v>0</v>
      </c>
      <c r="J17" s="58">
        <f>(IF(J$3=H$3+'Overzicht lijsten'!$I$2,VRAGENLIJST!$F174,IF(J$3=I$3+'Overzicht lijsten'!$I$2,VRAGENLIJST!$F176,IF(J$3=J$3+'Overzicht lijsten'!$I$2,VRAGENLIJST!$F178,0))))/(1+VRAGENLIJST!$F$160)</f>
        <v>0</v>
      </c>
      <c r="K17" s="58">
        <f>(IF(K$3=I$3+'Overzicht lijsten'!$I$2,VRAGENLIJST!$F176,IF(K$3=J$3+'Overzicht lijsten'!$I$2,VRAGENLIJST!$F178,IF(K$3=K$3+'Overzicht lijsten'!$I$2,VRAGENLIJST!$F180,0))))/(1+VRAGENLIJST!$F$160)</f>
        <v>0</v>
      </c>
      <c r="L17" s="58">
        <f>(IF(L$3=J$3+'Overzicht lijsten'!$I$2,VRAGENLIJST!$F178,IF(L$3=K$3+'Overzicht lijsten'!$I$2,VRAGENLIJST!$F180,IF(L$3=L$3+'Overzicht lijsten'!$I$2,VRAGENLIJST!$F182,0))))/(1+VRAGENLIJST!$F$160)</f>
        <v>0</v>
      </c>
      <c r="M17" s="58">
        <f>(IF(M$3=K$3+'Overzicht lijsten'!$I$2,VRAGENLIJST!$F180,IF(M$3=L$3+'Overzicht lijsten'!$I$2,VRAGENLIJST!$F182,IF(M$3=M$3+'Overzicht lijsten'!$I$2,VRAGENLIJST!$F184,0))))/(1+VRAGENLIJST!$F$160)</f>
        <v>0</v>
      </c>
      <c r="N17" s="58">
        <f>(IF(N$3=L$3+'Overzicht lijsten'!$I$2,VRAGENLIJST!$F182,IF(N$3=M$3+'Overzicht lijsten'!$I$2,VRAGENLIJST!$F184,IF(N$3=N$3+'Overzicht lijsten'!$I$2,VRAGENLIJST!$F186,0))))/(1+VRAGENLIJST!$F$160)</f>
        <v>0</v>
      </c>
      <c r="O17" s="58">
        <f>(IF(O$3=M$3+'Overzicht lijsten'!$I$2,VRAGENLIJST!$F184,IF(O$3=N$3+'Overzicht lijsten'!$I$2,VRAGENLIJST!$F186,IF(O$3=O$3+'Overzicht lijsten'!$I$2,VRAGENLIJST!$F188,0))))/(1+VRAGENLIJST!$F$160)</f>
        <v>0</v>
      </c>
      <c r="P17" s="54">
        <f t="shared" ref="P17:P31" si="3">SUM(C17:O17)</f>
        <v>0</v>
      </c>
    </row>
    <row r="18" spans="2:16" ht="14.45" x14ac:dyDescent="0.3">
      <c r="B18" s="19" t="s">
        <v>188</v>
      </c>
      <c r="C18" s="55"/>
      <c r="D18" s="58">
        <f>IF(D$3&gt;='Overzicht lijsten'!$B$17,VRAGENLIJST!$F126,0)</f>
        <v>0</v>
      </c>
      <c r="E18" s="58">
        <f>IF(E$3&gt;='Overzicht lijsten'!$B$17,VRAGENLIJST!$F126,0)</f>
        <v>0</v>
      </c>
      <c r="F18" s="58">
        <f>IF(F$3&gt;='Overzicht lijsten'!$B$17,VRAGENLIJST!$F126,0)</f>
        <v>0</v>
      </c>
      <c r="G18" s="58">
        <f>IF(G$3&gt;='Overzicht lijsten'!$B$17,VRAGENLIJST!$F126,0)</f>
        <v>0</v>
      </c>
      <c r="H18" s="58">
        <f>IF(H$3&gt;='Overzicht lijsten'!$B$17,VRAGENLIJST!$F126,0)</f>
        <v>0</v>
      </c>
      <c r="I18" s="58">
        <f>IF(I$3&gt;='Overzicht lijsten'!$B$17,VRAGENLIJST!$F126,0)</f>
        <v>0</v>
      </c>
      <c r="J18" s="58">
        <f>IF(J$3&gt;='Overzicht lijsten'!$B$17,VRAGENLIJST!$F126,0)</f>
        <v>0</v>
      </c>
      <c r="K18" s="58">
        <f>IF(K$3&gt;='Overzicht lijsten'!$B$17,VRAGENLIJST!$F126,0)</f>
        <v>0</v>
      </c>
      <c r="L18" s="58">
        <f>IF(L$3&gt;='Overzicht lijsten'!$B$17,VRAGENLIJST!$F126,0)</f>
        <v>0</v>
      </c>
      <c r="M18" s="58">
        <f>IF(M$3&gt;='Overzicht lijsten'!$B$17,VRAGENLIJST!$F126,0)</f>
        <v>0</v>
      </c>
      <c r="N18" s="58">
        <f>IF(N$3&gt;='Overzicht lijsten'!$B$17,VRAGENLIJST!$F126,0)</f>
        <v>0</v>
      </c>
      <c r="O18" s="58">
        <f>IF(O$3&gt;='Overzicht lijsten'!$B$17,VRAGENLIJST!$F126,0)</f>
        <v>0</v>
      </c>
      <c r="P18" s="54">
        <f t="shared" si="3"/>
        <v>0</v>
      </c>
    </row>
    <row r="19" spans="2:16" ht="14.45" x14ac:dyDescent="0.3">
      <c r="B19" s="19" t="s">
        <v>189</v>
      </c>
      <c r="C19" s="55"/>
      <c r="D19" s="58">
        <f>IF(D$3&gt;='Overzicht lijsten'!$B$18,VRAGENLIJST!$F132,0)</f>
        <v>0</v>
      </c>
      <c r="E19" s="58">
        <f>IF(E$3&gt;='Overzicht lijsten'!$B$18,VRAGENLIJST!$F132,0)</f>
        <v>0</v>
      </c>
      <c r="F19" s="58">
        <f>IF(F$3&gt;='Overzicht lijsten'!$B$18,VRAGENLIJST!$F132,0)</f>
        <v>0</v>
      </c>
      <c r="G19" s="58">
        <f>IF(G$3&gt;='Overzicht lijsten'!$B$18,VRAGENLIJST!$F132,0)</f>
        <v>0</v>
      </c>
      <c r="H19" s="58">
        <f>IF(H$3&gt;='Overzicht lijsten'!$B$18,VRAGENLIJST!$F132,0)</f>
        <v>0</v>
      </c>
      <c r="I19" s="58">
        <f>IF(I$3&gt;='Overzicht lijsten'!$B$18,VRAGENLIJST!$F132,0)</f>
        <v>0</v>
      </c>
      <c r="J19" s="58">
        <f>IF(J$3&gt;='Overzicht lijsten'!$B$18,VRAGENLIJST!$F132,0)</f>
        <v>0</v>
      </c>
      <c r="K19" s="58">
        <f>IF(K$3&gt;='Overzicht lijsten'!$B$18,VRAGENLIJST!$F132,0)</f>
        <v>0</v>
      </c>
      <c r="L19" s="58">
        <f>IF(L$3&gt;='Overzicht lijsten'!$B$18,VRAGENLIJST!$F132,0)</f>
        <v>0</v>
      </c>
      <c r="M19" s="58">
        <f>IF(M$3&gt;='Overzicht lijsten'!$B$18,VRAGENLIJST!$F132,0)</f>
        <v>0</v>
      </c>
      <c r="N19" s="58">
        <f>IF(N$3&gt;='Overzicht lijsten'!$B$18,VRAGENLIJST!$F132,0)</f>
        <v>0</v>
      </c>
      <c r="O19" s="58">
        <f>IF(O$3&gt;='Overzicht lijsten'!$B$18,VRAGENLIJST!$F132,0)</f>
        <v>0</v>
      </c>
      <c r="P19" s="54">
        <f t="shared" si="3"/>
        <v>0</v>
      </c>
    </row>
    <row r="20" spans="2:16" ht="14.45" x14ac:dyDescent="0.3">
      <c r="B20" s="19" t="s">
        <v>207</v>
      </c>
      <c r="C20" s="55"/>
      <c r="D20" s="58">
        <f>IF(D$3&gt;=VRAGENLIJST!$D136,VRAGENLIJST!$F136,0)</f>
        <v>0</v>
      </c>
      <c r="E20" s="58">
        <f>IF(E$3&gt;=VRAGENLIJST!$D136,VRAGENLIJST!$F136,0)</f>
        <v>0</v>
      </c>
      <c r="F20" s="58">
        <f>IF(F$3&gt;=VRAGENLIJST!$D136,VRAGENLIJST!$F136,0)</f>
        <v>0</v>
      </c>
      <c r="G20" s="58">
        <f>IF(G$3&gt;=VRAGENLIJST!$D136,VRAGENLIJST!$F136,0)</f>
        <v>0</v>
      </c>
      <c r="H20" s="58">
        <f>IF(H$3&gt;=VRAGENLIJST!$D136,VRAGENLIJST!$F136,0)</f>
        <v>0</v>
      </c>
      <c r="I20" s="58">
        <f>IF(I$3&gt;=VRAGENLIJST!$D136,VRAGENLIJST!$F136,0)</f>
        <v>0</v>
      </c>
      <c r="J20" s="58">
        <f>IF(J$3&gt;=VRAGENLIJST!$D136,VRAGENLIJST!$F136,0)</f>
        <v>0</v>
      </c>
      <c r="K20" s="58">
        <f>IF(K$3&gt;=VRAGENLIJST!$D136,VRAGENLIJST!$F136,0)</f>
        <v>0</v>
      </c>
      <c r="L20" s="58">
        <f>IF(L$3&gt;=VRAGENLIJST!$D136,VRAGENLIJST!$F136,0)</f>
        <v>0</v>
      </c>
      <c r="M20" s="58">
        <f>IF(M$3&gt;=VRAGENLIJST!$D136,VRAGENLIJST!$F136,0)</f>
        <v>0</v>
      </c>
      <c r="N20" s="58">
        <f>IF(N$3&gt;=VRAGENLIJST!$D136,VRAGENLIJST!$F136,0)</f>
        <v>0</v>
      </c>
      <c r="O20" s="58">
        <f>IF(O$3&gt;=VRAGENLIJST!$D136,VRAGENLIJST!$F136,0)</f>
        <v>0</v>
      </c>
      <c r="P20" s="54">
        <f t="shared" si="3"/>
        <v>0</v>
      </c>
    </row>
    <row r="21" spans="2:16" ht="14.45" x14ac:dyDescent="0.3">
      <c r="B21" s="19" t="s">
        <v>190</v>
      </c>
      <c r="C21" s="55"/>
      <c r="D21" s="58">
        <f>IF(D$3&gt;=VRAGENLIJST!$D138,VRAGENLIJST!$F138,0)</f>
        <v>0</v>
      </c>
      <c r="E21" s="58">
        <f>IF(E$3&gt;=VRAGENLIJST!$D138,VRAGENLIJST!$F138,0)</f>
        <v>0</v>
      </c>
      <c r="F21" s="58">
        <f>IF(F$3&gt;=VRAGENLIJST!$D138,VRAGENLIJST!$F138,0)</f>
        <v>0</v>
      </c>
      <c r="G21" s="58">
        <f>IF(G$3&gt;=VRAGENLIJST!$D138,VRAGENLIJST!$F138,0)</f>
        <v>0</v>
      </c>
      <c r="H21" s="58">
        <f>IF(H$3&gt;=VRAGENLIJST!$D138,VRAGENLIJST!$F138,0)</f>
        <v>0</v>
      </c>
      <c r="I21" s="58">
        <f>IF(I$3&gt;=VRAGENLIJST!$D138,VRAGENLIJST!$F138,0)</f>
        <v>0</v>
      </c>
      <c r="J21" s="58">
        <f>IF(J$3&gt;=VRAGENLIJST!$D138,VRAGENLIJST!$F138,0)</f>
        <v>0</v>
      </c>
      <c r="K21" s="58">
        <f>IF(K$3&gt;=VRAGENLIJST!$D138,VRAGENLIJST!$F138,0)</f>
        <v>0</v>
      </c>
      <c r="L21" s="58">
        <f>IF(L$3&gt;=VRAGENLIJST!$D138,VRAGENLIJST!$F138,0)</f>
        <v>0</v>
      </c>
      <c r="M21" s="58">
        <f>IF(M$3&gt;=VRAGENLIJST!$D138,VRAGENLIJST!$F138,0)</f>
        <v>0</v>
      </c>
      <c r="N21" s="58">
        <f>IF(N$3&gt;=VRAGENLIJST!$D138,VRAGENLIJST!$F138,0)</f>
        <v>0</v>
      </c>
      <c r="O21" s="58">
        <f>IF(O$3&gt;=VRAGENLIJST!$D138,VRAGENLIJST!$F138,0)</f>
        <v>0</v>
      </c>
      <c r="P21" s="54">
        <f t="shared" si="3"/>
        <v>0</v>
      </c>
    </row>
    <row r="22" spans="2:16" ht="14.45" x14ac:dyDescent="0.3">
      <c r="B22" s="19" t="s">
        <v>191</v>
      </c>
      <c r="C22" s="58">
        <f>'Investering &amp; Financiering'!D13/1.21</f>
        <v>0</v>
      </c>
      <c r="D22" s="58">
        <f>IF(D$3&gt;=VRAGENLIJST!$D140,VRAGENLIJST!$F140,0)</f>
        <v>0</v>
      </c>
      <c r="E22" s="58">
        <f>IF(E$3&gt;=VRAGENLIJST!$D140,VRAGENLIJST!$F140,0)</f>
        <v>0</v>
      </c>
      <c r="F22" s="58">
        <f>IF(F$3&gt;=VRAGENLIJST!$D140,VRAGENLIJST!$F140,0)</f>
        <v>0</v>
      </c>
      <c r="G22" s="58">
        <f>IF(G$3&gt;=VRAGENLIJST!$D140,VRAGENLIJST!$F140,0)</f>
        <v>0</v>
      </c>
      <c r="H22" s="58">
        <f>IF(H$3&gt;=VRAGENLIJST!$D140,VRAGENLIJST!$F140,0)</f>
        <v>0</v>
      </c>
      <c r="I22" s="58">
        <f>IF(I$3&gt;=VRAGENLIJST!$D140,VRAGENLIJST!$F140,0)</f>
        <v>0</v>
      </c>
      <c r="J22" s="58">
        <f>IF(J$3&gt;=VRAGENLIJST!$D140,VRAGENLIJST!$F140,0)</f>
        <v>0</v>
      </c>
      <c r="K22" s="58">
        <f>IF(K$3&gt;=VRAGENLIJST!$D140,VRAGENLIJST!$F140,0)</f>
        <v>0</v>
      </c>
      <c r="L22" s="58">
        <f>IF(L$3&gt;=VRAGENLIJST!$D140,VRAGENLIJST!$F140,0)</f>
        <v>0</v>
      </c>
      <c r="M22" s="58">
        <f>IF(M$3&gt;=VRAGENLIJST!$D140,VRAGENLIJST!$F140,0)</f>
        <v>0</v>
      </c>
      <c r="N22" s="58">
        <f>IF(N$3&gt;=VRAGENLIJST!$D140,VRAGENLIJST!$F140,0)</f>
        <v>0</v>
      </c>
      <c r="O22" s="58">
        <f>IF(O$3&gt;=VRAGENLIJST!$D140,VRAGENLIJST!$F140,0)</f>
        <v>0</v>
      </c>
      <c r="P22" s="54">
        <f t="shared" si="3"/>
        <v>0</v>
      </c>
    </row>
    <row r="23" spans="2:16" x14ac:dyDescent="0.25">
      <c r="B23" s="19" t="s">
        <v>192</v>
      </c>
      <c r="C23" s="55"/>
      <c r="D23" s="58">
        <f>IF(D$3&gt;=VRAGENLIJST!$D142,VRAGENLIJST!$F142,0)</f>
        <v>0</v>
      </c>
      <c r="E23" s="58">
        <f>IF(E$3&gt;=VRAGENLIJST!$D142,VRAGENLIJST!$F142,0)</f>
        <v>0</v>
      </c>
      <c r="F23" s="58">
        <f>IF(F$3&gt;=VRAGENLIJST!$D142,VRAGENLIJST!$F142,0)</f>
        <v>0</v>
      </c>
      <c r="G23" s="58">
        <f>IF(G$3&gt;=VRAGENLIJST!$D142,VRAGENLIJST!$F142,0)</f>
        <v>0</v>
      </c>
      <c r="H23" s="58">
        <f>IF(H$3&gt;=VRAGENLIJST!$D142,VRAGENLIJST!$F142,0)</f>
        <v>0</v>
      </c>
      <c r="I23" s="58">
        <f>IF(I$3&gt;=VRAGENLIJST!$D142,VRAGENLIJST!$F142,0)</f>
        <v>0</v>
      </c>
      <c r="J23" s="58">
        <f>IF(J$3&gt;=VRAGENLIJST!$D142,VRAGENLIJST!$F142,0)</f>
        <v>0</v>
      </c>
      <c r="K23" s="58">
        <f>IF(K$3&gt;=VRAGENLIJST!$D142,VRAGENLIJST!$F142,0)</f>
        <v>0</v>
      </c>
      <c r="L23" s="58">
        <f>IF(L$3&gt;=VRAGENLIJST!$D142,VRAGENLIJST!$F142,0)</f>
        <v>0</v>
      </c>
      <c r="M23" s="58">
        <f>IF(M$3&gt;=VRAGENLIJST!$D142,VRAGENLIJST!$F142,0)</f>
        <v>0</v>
      </c>
      <c r="N23" s="58">
        <f>IF(N$3&gt;=VRAGENLIJST!$D142,VRAGENLIJST!$F142,0)</f>
        <v>0</v>
      </c>
      <c r="O23" s="58">
        <f>IF(O$3&gt;=VRAGENLIJST!$D142,VRAGENLIJST!$F142,0)</f>
        <v>0</v>
      </c>
      <c r="P23" s="54">
        <f t="shared" si="3"/>
        <v>0</v>
      </c>
    </row>
    <row r="24" spans="2:16" x14ac:dyDescent="0.25">
      <c r="B24" s="19" t="s">
        <v>193</v>
      </c>
      <c r="C24" s="58">
        <f>((C16+C22)*0.21)+(C17*VRAGENLIJST!$F$160)</f>
        <v>0</v>
      </c>
      <c r="D24" s="58">
        <f>(D17*VRAGENLIJST!$F160)+(D21+D22+D23)*0.21</f>
        <v>0</v>
      </c>
      <c r="E24" s="58">
        <f>(E17*VRAGENLIJST!$F160)+(E21+E22+E23)*0.21</f>
        <v>0</v>
      </c>
      <c r="F24" s="58">
        <f>(F17*VRAGENLIJST!$F160)+(F21+F22+F23)*0.21</f>
        <v>0</v>
      </c>
      <c r="G24" s="58">
        <f>(G17*VRAGENLIJST!$F160)+(G21+G22+G23)*0.21</f>
        <v>0</v>
      </c>
      <c r="H24" s="58">
        <f>(H17*VRAGENLIJST!$F160)+(H21+H22+H23)*0.21</f>
        <v>0</v>
      </c>
      <c r="I24" s="58">
        <f>(I17*VRAGENLIJST!$F160)+(I21+I22+I23)*0.21</f>
        <v>0</v>
      </c>
      <c r="J24" s="58">
        <f>(J17*VRAGENLIJST!$F160)+(J21+J22+J23)*0.21</f>
        <v>0</v>
      </c>
      <c r="K24" s="58">
        <f>(K17*VRAGENLIJST!$F160)+(K21+K22+K23)*0.21</f>
        <v>0</v>
      </c>
      <c r="L24" s="58">
        <f>(L17*VRAGENLIJST!$F160)+(L21+L22+L23)*0.21</f>
        <v>0</v>
      </c>
      <c r="M24" s="58">
        <f>(M17*VRAGENLIJST!$F160)+(M21+M22+M23)*0.21</f>
        <v>0</v>
      </c>
      <c r="N24" s="58">
        <f>(N17*VRAGENLIJST!$F160)+(N21+N22+N23)*0.21</f>
        <v>0</v>
      </c>
      <c r="O24" s="58">
        <f>(O17*VRAGENLIJST!$F160)+(O21+O22+O23)*0.21</f>
        <v>0</v>
      </c>
      <c r="P24" s="54">
        <f t="shared" si="3"/>
        <v>0</v>
      </c>
    </row>
    <row r="25" spans="2:16" x14ac:dyDescent="0.25">
      <c r="B25" s="19" t="s">
        <v>194</v>
      </c>
      <c r="C25" s="63"/>
      <c r="D25" s="55"/>
      <c r="E25" s="55"/>
      <c r="F25" s="55"/>
      <c r="G25" s="58">
        <f>IF(VRAGENLIJST!$F$194=0,0,SUM(D12:F12)-SUM(C24:F24))</f>
        <v>0</v>
      </c>
      <c r="H25" s="55"/>
      <c r="I25" s="55"/>
      <c r="J25" s="58">
        <f>IF(VRAGENLIJST!$F$194=0,0,SUM(G12:I12)-SUM(G24:I24))</f>
        <v>0</v>
      </c>
      <c r="K25" s="55"/>
      <c r="L25" s="55"/>
      <c r="M25" s="58">
        <f>IF(VRAGENLIJST!$F$194=0,0,SUM(J12:L12)-SUM(J24:L24))</f>
        <v>0</v>
      </c>
      <c r="N25" s="55"/>
      <c r="O25" s="55"/>
      <c r="P25" s="54">
        <f t="shared" si="3"/>
        <v>0</v>
      </c>
    </row>
    <row r="26" spans="2:16" x14ac:dyDescent="0.25">
      <c r="B26" s="19" t="s">
        <v>298</v>
      </c>
      <c r="C26" s="55"/>
      <c r="D26" s="58">
        <f>VRAGENLIJST!$F$110+VRAGENLIJST!$F$118</f>
        <v>0</v>
      </c>
      <c r="E26" s="58">
        <f>VRAGENLIJST!$F$110+VRAGENLIJST!$F$118</f>
        <v>0</v>
      </c>
      <c r="F26" s="58">
        <f>VRAGENLIJST!$F$110+VRAGENLIJST!$F$118</f>
        <v>0</v>
      </c>
      <c r="G26" s="58">
        <f>VRAGENLIJST!$F$110+VRAGENLIJST!$F$118</f>
        <v>0</v>
      </c>
      <c r="H26" s="58">
        <f>VRAGENLIJST!$F$110+VRAGENLIJST!$F$118</f>
        <v>0</v>
      </c>
      <c r="I26" s="58">
        <f>VRAGENLIJST!$F$110+VRAGENLIJST!$F$118</f>
        <v>0</v>
      </c>
      <c r="J26" s="58">
        <f>VRAGENLIJST!$F$110+VRAGENLIJST!$F$118</f>
        <v>0</v>
      </c>
      <c r="K26" s="58">
        <f>VRAGENLIJST!$F$110+VRAGENLIJST!$F$118</f>
        <v>0</v>
      </c>
      <c r="L26" s="58">
        <f>VRAGENLIJST!$F$110+VRAGENLIJST!$F$118</f>
        <v>0</v>
      </c>
      <c r="M26" s="58">
        <f>VRAGENLIJST!$F$110+VRAGENLIJST!$F$118</f>
        <v>0</v>
      </c>
      <c r="N26" s="58">
        <f>VRAGENLIJST!$F$110+VRAGENLIJST!$F$118</f>
        <v>0</v>
      </c>
      <c r="O26" s="58">
        <f>VRAGENLIJST!$F$110+VRAGENLIJST!$F$118</f>
        <v>0</v>
      </c>
      <c r="P26" s="54">
        <f t="shared" si="3"/>
        <v>0</v>
      </c>
    </row>
    <row r="27" spans="2:16" x14ac:dyDescent="0.25">
      <c r="B27" s="19" t="s">
        <v>299</v>
      </c>
      <c r="C27" s="55"/>
      <c r="D27" s="58">
        <f>IF(AND(D3&gt;='Overzicht lijsten'!$B$19,D3&lt;'Overzicht lijsten'!$B$19+VRAGENLIJST!$G$114),VRAGENLIJST!$F$112,0)+IF(AND(D3&gt;='Overzicht lijsten'!$B$20,D3&lt;'Overzicht lijsten'!$B$19+VRAGENLIJST!$G$122),VRAGENLIJST!$F$120,0)</f>
        <v>0</v>
      </c>
      <c r="E27" s="58">
        <f>IF(AND(E3&gt;='Overzicht lijsten'!$B$19,E3&lt;'Overzicht lijsten'!$B$19+VRAGENLIJST!$G$114),VRAGENLIJST!$F$112,0)+IF(AND(E3&gt;='Overzicht lijsten'!$B$20,E3&lt;'Overzicht lijsten'!$B$19+VRAGENLIJST!$G$122),VRAGENLIJST!$F$120,0)</f>
        <v>0</v>
      </c>
      <c r="F27" s="58">
        <f>IF(AND(F3&gt;='Overzicht lijsten'!$B$19,F3&lt;'Overzicht lijsten'!$B$19+VRAGENLIJST!$G$114),VRAGENLIJST!$F$112,0)+IF(AND(F3&gt;='Overzicht lijsten'!$B$20,F3&lt;'Overzicht lijsten'!$B$19+VRAGENLIJST!$G$122),VRAGENLIJST!$F$120,0)</f>
        <v>0</v>
      </c>
      <c r="G27" s="58">
        <f>IF(AND(G3&gt;='Overzicht lijsten'!$B$19,G3&lt;'Overzicht lijsten'!$B$19+VRAGENLIJST!$G$114),VRAGENLIJST!$F$112,0)+IF(AND(G3&gt;='Overzicht lijsten'!$B$20,G3&lt;'Overzicht lijsten'!$B$19+VRAGENLIJST!$G$122),VRAGENLIJST!$F$120,0)</f>
        <v>0</v>
      </c>
      <c r="H27" s="58">
        <f>IF(AND(H3&gt;='Overzicht lijsten'!$B$19,H3&lt;'Overzicht lijsten'!$B$19+VRAGENLIJST!$G$114),VRAGENLIJST!$F$112,0)+IF(AND(H3&gt;='Overzicht lijsten'!$B$20,H3&lt;'Overzicht lijsten'!$B$19+VRAGENLIJST!$G$122),VRAGENLIJST!$F$120,0)</f>
        <v>0</v>
      </c>
      <c r="I27" s="58">
        <f>IF(AND(I3&gt;='Overzicht lijsten'!$B$19,I3&lt;'Overzicht lijsten'!$B$19+VRAGENLIJST!$G$114),VRAGENLIJST!$F$112,0)+IF(AND(I3&gt;='Overzicht lijsten'!$B$20,I3&lt;'Overzicht lijsten'!$B$19+VRAGENLIJST!$G$122),VRAGENLIJST!$F$120,0)</f>
        <v>0</v>
      </c>
      <c r="J27" s="58">
        <f>IF(AND(J3&gt;='Overzicht lijsten'!$B$19,J3&lt;'Overzicht lijsten'!$B$19+VRAGENLIJST!$G$114),VRAGENLIJST!$F$112,0)+IF(AND(J3&gt;='Overzicht lijsten'!$B$20,J3&lt;'Overzicht lijsten'!$B$19+VRAGENLIJST!$G$122),VRAGENLIJST!$F$120,0)</f>
        <v>0</v>
      </c>
      <c r="K27" s="58">
        <f>IF(AND(K3&gt;='Overzicht lijsten'!$B$19,K3&lt;'Overzicht lijsten'!$B$19+VRAGENLIJST!$G$114),VRAGENLIJST!$F$112,0)+IF(AND(K3&gt;='Overzicht lijsten'!$B$20,K3&lt;'Overzicht lijsten'!$B$19+VRAGENLIJST!$G$122),VRAGENLIJST!$F$120,0)</f>
        <v>0</v>
      </c>
      <c r="L27" s="58">
        <f>IF(AND(L3&gt;='Overzicht lijsten'!$B$19,L3&lt;'Overzicht lijsten'!$B$19+VRAGENLIJST!$G$114),VRAGENLIJST!$F$112,0)+IF(AND(L3&gt;='Overzicht lijsten'!$B$20,L3&lt;'Overzicht lijsten'!$B$19+VRAGENLIJST!$G$122),VRAGENLIJST!$F$120,0)</f>
        <v>0</v>
      </c>
      <c r="M27" s="58">
        <f>IF(AND(M3&gt;='Overzicht lijsten'!$B$19,M3&lt;'Overzicht lijsten'!$B$19+VRAGENLIJST!$G$114),VRAGENLIJST!$F$112,0)+IF(AND(M3&gt;='Overzicht lijsten'!$B$20,M3&lt;'Overzicht lijsten'!$B$19+VRAGENLIJST!$G$122),VRAGENLIJST!$F$120,0)</f>
        <v>0</v>
      </c>
      <c r="N27" s="58">
        <f>IF(AND(N3&gt;='Overzicht lijsten'!$B$19,N3&lt;'Overzicht lijsten'!$B$19+VRAGENLIJST!$G$114),VRAGENLIJST!$F$112,0)+IF(AND(N3&gt;='Overzicht lijsten'!$B$20,N3&lt;'Overzicht lijsten'!$B$19+VRAGENLIJST!$G$122),VRAGENLIJST!$F$120,0)</f>
        <v>0</v>
      </c>
      <c r="O27" s="58">
        <f>IF(AND(O3&gt;='Overzicht lijsten'!$B$19,O3&lt;'Overzicht lijsten'!$B$19+VRAGENLIJST!$G$114),VRAGENLIJST!$F$112,0)+IF(AND(O3&gt;='Overzicht lijsten'!$B$20,O3&lt;'Overzicht lijsten'!$B$19+VRAGENLIJST!$G$122),VRAGENLIJST!$F$120,0)</f>
        <v>0</v>
      </c>
      <c r="P27" s="54">
        <f t="shared" si="3"/>
        <v>0</v>
      </c>
    </row>
    <row r="28" spans="2:16" x14ac:dyDescent="0.25">
      <c r="B28" s="19" t="s">
        <v>215</v>
      </c>
      <c r="C28" s="55"/>
      <c r="D28" s="58">
        <f>'Maandlasten IPK'!C18</f>
        <v>125</v>
      </c>
      <c r="E28" s="58">
        <f>'Maandlasten IPK'!D18</f>
        <v>125</v>
      </c>
      <c r="F28" s="58">
        <f>'Maandlasten IPK'!E18</f>
        <v>125</v>
      </c>
      <c r="G28" s="58">
        <f>'Maandlasten IPK'!F18</f>
        <v>125</v>
      </c>
      <c r="H28" s="58">
        <f>'Maandlasten IPK'!G18</f>
        <v>122.52</v>
      </c>
      <c r="I28" s="58">
        <f>'Maandlasten IPK'!H18</f>
        <v>120.02</v>
      </c>
      <c r="J28" s="58">
        <f>'Maandlasten IPK'!I18</f>
        <v>117.51</v>
      </c>
      <c r="K28" s="58">
        <f>'Maandlasten IPK'!J18</f>
        <v>114.99</v>
      </c>
      <c r="L28" s="58">
        <f>'Maandlasten IPK'!K18</f>
        <v>112.46</v>
      </c>
      <c r="M28" s="58">
        <f>'Maandlasten IPK'!L18</f>
        <v>109.91</v>
      </c>
      <c r="N28" s="58">
        <f>'Maandlasten IPK'!M18</f>
        <v>107.35</v>
      </c>
      <c r="O28" s="58">
        <f>'Maandlasten IPK'!N18</f>
        <v>104.78</v>
      </c>
      <c r="P28" s="54">
        <f t="shared" si="3"/>
        <v>1409.54</v>
      </c>
    </row>
    <row r="29" spans="2:16" x14ac:dyDescent="0.25">
      <c r="B29" s="19" t="s">
        <v>300</v>
      </c>
      <c r="C29" s="55"/>
      <c r="D29" s="58">
        <f>'Maandlasten IPK'!C19</f>
        <v>0</v>
      </c>
      <c r="E29" s="58">
        <f>'Maandlasten IPK'!D19</f>
        <v>0</v>
      </c>
      <c r="F29" s="58">
        <f>'Maandlasten IPK'!E19</f>
        <v>0</v>
      </c>
      <c r="G29" s="58">
        <f>'Maandlasten IPK'!F19</f>
        <v>496.78</v>
      </c>
      <c r="H29" s="58">
        <f>'Maandlasten IPK'!G19</f>
        <v>499.26</v>
      </c>
      <c r="I29" s="58">
        <f>'Maandlasten IPK'!H19</f>
        <v>501.76</v>
      </c>
      <c r="J29" s="58">
        <f>'Maandlasten IPK'!I19</f>
        <v>504.27</v>
      </c>
      <c r="K29" s="58">
        <f>'Maandlasten IPK'!J19</f>
        <v>506.78999999999996</v>
      </c>
      <c r="L29" s="58">
        <f>'Maandlasten IPK'!K19</f>
        <v>509.32</v>
      </c>
      <c r="M29" s="58">
        <f>'Maandlasten IPK'!L19</f>
        <v>511.87</v>
      </c>
      <c r="N29" s="58">
        <f>'Maandlasten IPK'!M19</f>
        <v>514.42999999999995</v>
      </c>
      <c r="O29" s="58">
        <f>'Maandlasten IPK'!N19</f>
        <v>517</v>
      </c>
      <c r="P29" s="54">
        <f t="shared" si="3"/>
        <v>4561.4799999999996</v>
      </c>
    </row>
    <row r="30" spans="2:16" ht="15.75" thickBot="1" x14ac:dyDescent="0.3">
      <c r="B30" s="30" t="s">
        <v>195</v>
      </c>
      <c r="C30" s="55"/>
      <c r="D30" s="58">
        <f>VRAGENLIJST!$F$130</f>
        <v>0</v>
      </c>
      <c r="E30" s="58">
        <f>VRAGENLIJST!$F$130</f>
        <v>0</v>
      </c>
      <c r="F30" s="58">
        <f>VRAGENLIJST!$F$130</f>
        <v>0</v>
      </c>
      <c r="G30" s="58">
        <f>VRAGENLIJST!$F$130</f>
        <v>0</v>
      </c>
      <c r="H30" s="58">
        <f>VRAGENLIJST!$F$130</f>
        <v>0</v>
      </c>
      <c r="I30" s="58">
        <f>VRAGENLIJST!$F$130</f>
        <v>0</v>
      </c>
      <c r="J30" s="58">
        <f>VRAGENLIJST!$F$130</f>
        <v>0</v>
      </c>
      <c r="K30" s="58">
        <f>VRAGENLIJST!$F$130</f>
        <v>0</v>
      </c>
      <c r="L30" s="58">
        <f>VRAGENLIJST!$F$130</f>
        <v>0</v>
      </c>
      <c r="M30" s="58">
        <f>VRAGENLIJST!$F$130</f>
        <v>0</v>
      </c>
      <c r="N30" s="58">
        <f>VRAGENLIJST!$F$130</f>
        <v>0</v>
      </c>
      <c r="O30" s="58">
        <f>VRAGENLIJST!$F$130</f>
        <v>0</v>
      </c>
      <c r="P30" s="54">
        <f t="shared" si="3"/>
        <v>0</v>
      </c>
    </row>
    <row r="31" spans="2:16" ht="16.5" thickTop="1" thickBot="1" x14ac:dyDescent="0.3">
      <c r="B31" s="25" t="s">
        <v>196</v>
      </c>
      <c r="C31" s="141">
        <f>SUM(C16:C30)</f>
        <v>0</v>
      </c>
      <c r="D31" s="141">
        <f t="shared" ref="D31:O31" si="4">SUM(D16:D30)</f>
        <v>125</v>
      </c>
      <c r="E31" s="141">
        <f t="shared" si="4"/>
        <v>125</v>
      </c>
      <c r="F31" s="141">
        <f t="shared" si="4"/>
        <v>125</v>
      </c>
      <c r="G31" s="141">
        <f t="shared" si="4"/>
        <v>621.78</v>
      </c>
      <c r="H31" s="141">
        <f t="shared" si="4"/>
        <v>621.78</v>
      </c>
      <c r="I31" s="141">
        <f t="shared" si="4"/>
        <v>621.78</v>
      </c>
      <c r="J31" s="141">
        <f t="shared" si="4"/>
        <v>621.78</v>
      </c>
      <c r="K31" s="141">
        <f t="shared" si="4"/>
        <v>621.78</v>
      </c>
      <c r="L31" s="141">
        <f t="shared" si="4"/>
        <v>621.78</v>
      </c>
      <c r="M31" s="141">
        <f t="shared" si="4"/>
        <v>621.78</v>
      </c>
      <c r="N31" s="141">
        <f t="shared" si="4"/>
        <v>621.78</v>
      </c>
      <c r="O31" s="141">
        <f t="shared" si="4"/>
        <v>621.78</v>
      </c>
      <c r="P31" s="142">
        <f t="shared" si="3"/>
        <v>5971.0199999999986</v>
      </c>
    </row>
    <row r="32" spans="2:16" ht="16.5" thickTop="1" thickBot="1" x14ac:dyDescent="0.3">
      <c r="C32" s="55"/>
      <c r="D32" s="55"/>
      <c r="E32" s="55"/>
      <c r="F32" s="55"/>
      <c r="G32" s="55"/>
      <c r="H32" s="55"/>
      <c r="I32" s="55"/>
      <c r="J32" s="55"/>
      <c r="K32" s="55"/>
      <c r="L32" s="55"/>
      <c r="M32" s="55"/>
      <c r="N32" s="55"/>
      <c r="O32" s="55"/>
      <c r="P32" s="55"/>
    </row>
    <row r="33" spans="2:16" ht="16.5" thickTop="1" thickBot="1" x14ac:dyDescent="0.3">
      <c r="B33" s="25" t="s">
        <v>197</v>
      </c>
      <c r="C33" s="64">
        <f>C13-C31</f>
        <v>24250</v>
      </c>
      <c r="D33" s="64">
        <f t="shared" ref="D33:O33" si="5">D13-D31</f>
        <v>-125</v>
      </c>
      <c r="E33" s="64">
        <f t="shared" si="5"/>
        <v>-125</v>
      </c>
      <c r="F33" s="64">
        <f t="shared" si="5"/>
        <v>-125</v>
      </c>
      <c r="G33" s="64">
        <f t="shared" si="5"/>
        <v>-621.78</v>
      </c>
      <c r="H33" s="64">
        <f t="shared" si="5"/>
        <v>-621.78</v>
      </c>
      <c r="I33" s="64">
        <f t="shared" si="5"/>
        <v>-621.78</v>
      </c>
      <c r="J33" s="64">
        <f t="shared" si="5"/>
        <v>-621.78</v>
      </c>
      <c r="K33" s="64">
        <f t="shared" si="5"/>
        <v>-621.78</v>
      </c>
      <c r="L33" s="64">
        <f t="shared" si="5"/>
        <v>-621.78</v>
      </c>
      <c r="M33" s="64">
        <f t="shared" si="5"/>
        <v>-621.78</v>
      </c>
      <c r="N33" s="64">
        <f t="shared" si="5"/>
        <v>-621.78</v>
      </c>
      <c r="O33" s="64">
        <f t="shared" si="5"/>
        <v>-621.78</v>
      </c>
      <c r="P33" s="61"/>
    </row>
    <row r="34" spans="2:16" ht="16.5" thickTop="1" thickBot="1" x14ac:dyDescent="0.3">
      <c r="C34" s="55"/>
      <c r="D34" s="55"/>
      <c r="E34" s="55"/>
      <c r="F34" s="55"/>
      <c r="G34" s="55"/>
      <c r="H34" s="55"/>
      <c r="I34" s="55"/>
      <c r="J34" s="55"/>
      <c r="K34" s="55"/>
      <c r="L34" s="55"/>
      <c r="M34" s="55"/>
      <c r="N34" s="55"/>
      <c r="O34" s="55"/>
      <c r="P34" s="55"/>
    </row>
    <row r="35" spans="2:16" ht="16.5" thickTop="1" thickBot="1" x14ac:dyDescent="0.3">
      <c r="B35" s="25" t="s">
        <v>198</v>
      </c>
      <c r="C35" s="64">
        <f>C5+C33</f>
        <v>24250</v>
      </c>
      <c r="D35" s="64">
        <f t="shared" ref="D35:N35" si="6">D5+D33</f>
        <v>24125</v>
      </c>
      <c r="E35" s="64">
        <f t="shared" si="6"/>
        <v>24000</v>
      </c>
      <c r="F35" s="64">
        <f t="shared" si="6"/>
        <v>23875</v>
      </c>
      <c r="G35" s="64">
        <f t="shared" si="6"/>
        <v>23253.22</v>
      </c>
      <c r="H35" s="64">
        <f t="shared" si="6"/>
        <v>22631.440000000002</v>
      </c>
      <c r="I35" s="64">
        <f t="shared" si="6"/>
        <v>22009.660000000003</v>
      </c>
      <c r="J35" s="64">
        <f t="shared" si="6"/>
        <v>21387.880000000005</v>
      </c>
      <c r="K35" s="64">
        <f t="shared" si="6"/>
        <v>20766.100000000006</v>
      </c>
      <c r="L35" s="64">
        <f t="shared" si="6"/>
        <v>20144.320000000007</v>
      </c>
      <c r="M35" s="64">
        <f t="shared" si="6"/>
        <v>19522.540000000008</v>
      </c>
      <c r="N35" s="64">
        <f t="shared" si="6"/>
        <v>18900.760000000009</v>
      </c>
      <c r="O35" s="64">
        <f>O5+O33</f>
        <v>18278.98000000001</v>
      </c>
      <c r="P35" s="61"/>
    </row>
    <row r="36" spans="2:16" ht="15.75" thickTop="1" x14ac:dyDescent="0.25"/>
  </sheetData>
  <sheetProtection selectLockedCells="1" selectUnlockedCells="1"/>
  <pageMargins left="0.7" right="0.7" top="0.75" bottom="0.75" header="0.3" footer="0.3"/>
  <pageSetup paperSize="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9" tint="0.39997558519241921"/>
  </sheetPr>
  <dimension ref="B1:N27"/>
  <sheetViews>
    <sheetView zoomScaleNormal="100" zoomScaleSheetLayoutView="70" workbookViewId="0">
      <selection activeCell="M5" sqref="M5"/>
    </sheetView>
  </sheetViews>
  <sheetFormatPr defaultRowHeight="15" x14ac:dyDescent="0.25"/>
  <cols>
    <col min="1" max="1" width="4.140625" customWidth="1"/>
    <col min="2" max="2" width="62" customWidth="1"/>
    <col min="3" max="3" width="17.140625" customWidth="1"/>
    <col min="4" max="4" width="2.7109375" customWidth="1"/>
    <col min="6" max="6" width="45.42578125" customWidth="1"/>
    <col min="7" max="7" width="12.85546875" customWidth="1"/>
    <col min="8" max="8" width="4.28515625" customWidth="1"/>
  </cols>
  <sheetData>
    <row r="1" spans="2:14" ht="91.9" customHeight="1" x14ac:dyDescent="0.3">
      <c r="B1" s="7" t="s">
        <v>209</v>
      </c>
      <c r="F1" s="9"/>
      <c r="H1" s="17"/>
      <c r="I1" s="17"/>
      <c r="J1" s="17"/>
      <c r="K1" s="17"/>
      <c r="L1" s="17"/>
      <c r="M1" s="17"/>
      <c r="N1" s="17"/>
    </row>
    <row r="3" spans="2:14" ht="14.45" x14ac:dyDescent="0.3">
      <c r="B3" s="18" t="s">
        <v>267</v>
      </c>
      <c r="C3" s="18"/>
      <c r="F3" s="18" t="s">
        <v>220</v>
      </c>
      <c r="G3" s="18"/>
    </row>
    <row r="4" spans="2:14" ht="14.45" x14ac:dyDescent="0.3">
      <c r="B4" s="24" t="s">
        <v>266</v>
      </c>
      <c r="C4" s="66">
        <f>SUM(VRAGENLIJST!$F$200:$F$222)/(1+VRAGENLIJST!$F$194)</f>
        <v>0</v>
      </c>
      <c r="F4" s="24" t="s">
        <v>217</v>
      </c>
      <c r="G4" s="66">
        <f>C20</f>
        <v>-1409.54</v>
      </c>
    </row>
    <row r="5" spans="2:14" thickBot="1" x14ac:dyDescent="0.35">
      <c r="B5" s="30" t="s">
        <v>288</v>
      </c>
      <c r="C5" s="67">
        <f>C4*VRAGENLIJST!$F$158</f>
        <v>0</v>
      </c>
      <c r="F5" s="30" t="s">
        <v>213</v>
      </c>
      <c r="G5" s="67">
        <f>C14</f>
        <v>0</v>
      </c>
    </row>
    <row r="6" spans="2:14" ht="15.6" thickTop="1" thickBot="1" x14ac:dyDescent="0.35">
      <c r="B6" s="25" t="s">
        <v>210</v>
      </c>
      <c r="C6" s="52">
        <f>C4-C5</f>
        <v>0</v>
      </c>
      <c r="F6" s="25" t="s">
        <v>221</v>
      </c>
      <c r="G6" s="52">
        <f>G4+G5</f>
        <v>-1409.54</v>
      </c>
    </row>
    <row r="7" spans="2:14" thickTop="1" x14ac:dyDescent="0.3">
      <c r="B7" s="65" t="s">
        <v>211</v>
      </c>
      <c r="C7" s="68">
        <f>IF(C4=0,0,C6/C4)</f>
        <v>0</v>
      </c>
    </row>
    <row r="8" spans="2:14" ht="14.45" x14ac:dyDescent="0.3">
      <c r="F8" s="19" t="s">
        <v>263</v>
      </c>
      <c r="G8" s="51">
        <f>C23+C24</f>
        <v>0</v>
      </c>
    </row>
    <row r="9" spans="2:14" ht="14.45" x14ac:dyDescent="0.3">
      <c r="B9" s="19" t="s">
        <v>188</v>
      </c>
      <c r="C9" s="51">
        <f>Liquiditeit!P18</f>
        <v>0</v>
      </c>
      <c r="F9" s="19" t="s">
        <v>222</v>
      </c>
      <c r="G9" s="51">
        <f>Liquiditeit!P27+'Maandlasten IPK'!O19</f>
        <v>4561.4799999999996</v>
      </c>
    </row>
    <row r="10" spans="2:14" thickBot="1" x14ac:dyDescent="0.35">
      <c r="B10" s="19" t="s">
        <v>189</v>
      </c>
      <c r="C10" s="51">
        <f>Liquiditeit!P19+Liquiditeit!P20</f>
        <v>0</v>
      </c>
    </row>
    <row r="11" spans="2:14" ht="15.6" thickTop="1" thickBot="1" x14ac:dyDescent="0.35">
      <c r="B11" s="19" t="s">
        <v>212</v>
      </c>
      <c r="C11" s="51">
        <f>Liquiditeit!P21</f>
        <v>0</v>
      </c>
      <c r="F11" s="25" t="s">
        <v>223</v>
      </c>
      <c r="G11" s="52">
        <f>G6-G8-G9</f>
        <v>-5971.0199999999995</v>
      </c>
    </row>
    <row r="12" spans="2:14" thickTop="1" x14ac:dyDescent="0.3">
      <c r="B12" s="19" t="s">
        <v>191</v>
      </c>
      <c r="C12" s="51">
        <f>Liquiditeit!P22</f>
        <v>0</v>
      </c>
    </row>
    <row r="13" spans="2:14" ht="14.45" x14ac:dyDescent="0.3">
      <c r="B13" s="19" t="s">
        <v>192</v>
      </c>
      <c r="C13" s="51">
        <f>Liquiditeit!P23</f>
        <v>0</v>
      </c>
    </row>
    <row r="14" spans="2:14" thickBot="1" x14ac:dyDescent="0.35">
      <c r="B14" s="30" t="s">
        <v>213</v>
      </c>
      <c r="C14" s="67">
        <f>Afschrijvingen!$F$11</f>
        <v>0</v>
      </c>
    </row>
    <row r="15" spans="2:14" ht="15.6" thickTop="1" thickBot="1" x14ac:dyDescent="0.35">
      <c r="B15" s="25" t="s">
        <v>214</v>
      </c>
      <c r="C15" s="52">
        <f>SUM(C9:C14)</f>
        <v>0</v>
      </c>
    </row>
    <row r="16" spans="2:14" thickTop="1" x14ac:dyDescent="0.3"/>
    <row r="17" spans="2:3" ht="14.45" x14ac:dyDescent="0.3">
      <c r="B17" s="19" t="s">
        <v>215</v>
      </c>
      <c r="C17" s="51">
        <f>'Maandlasten IPK'!O18</f>
        <v>1409.54</v>
      </c>
    </row>
    <row r="18" spans="2:3" ht="14.45" x14ac:dyDescent="0.3">
      <c r="B18" s="19" t="s">
        <v>216</v>
      </c>
      <c r="C18" s="51">
        <f>Liquiditeit!P27</f>
        <v>0</v>
      </c>
    </row>
    <row r="19" spans="2:3" thickBot="1" x14ac:dyDescent="0.35"/>
    <row r="20" spans="2:3" ht="16.5" thickTop="1" thickBot="1" x14ac:dyDescent="0.3">
      <c r="B20" s="25" t="s">
        <v>217</v>
      </c>
      <c r="C20" s="52">
        <f>C6-C15-C17-C18</f>
        <v>-1409.54</v>
      </c>
    </row>
    <row r="21" spans="2:3" ht="15.75" thickTop="1" x14ac:dyDescent="0.25"/>
    <row r="22" spans="2:3" x14ac:dyDescent="0.25">
      <c r="B22" s="19" t="s">
        <v>218</v>
      </c>
      <c r="C22" s="51">
        <f>IF(C20&lt;0,0,C20)</f>
        <v>0</v>
      </c>
    </row>
    <row r="23" spans="2:3" x14ac:dyDescent="0.25">
      <c r="B23" s="19" t="s">
        <v>262</v>
      </c>
      <c r="C23" s="51">
        <f>IB!$B$7</f>
        <v>0</v>
      </c>
    </row>
    <row r="24" spans="2:3" x14ac:dyDescent="0.25">
      <c r="B24" s="19" t="s">
        <v>195</v>
      </c>
      <c r="C24" s="66">
        <f>Liquiditeit!P30</f>
        <v>0</v>
      </c>
    </row>
    <row r="25" spans="2:3" ht="15.75" thickBot="1" x14ac:dyDescent="0.3"/>
    <row r="26" spans="2:3" ht="16.5" thickTop="1" thickBot="1" x14ac:dyDescent="0.3">
      <c r="B26" s="25" t="s">
        <v>219</v>
      </c>
      <c r="C26" s="52">
        <f>C20-C23-C24</f>
        <v>-1409.54</v>
      </c>
    </row>
    <row r="27" spans="2:3" ht="15.75" thickTop="1" x14ac:dyDescent="0.25"/>
  </sheetData>
  <sheetProtection password="DEA6" sheet="1" objects="1" scenarios="1" selectLockedCells="1" selectUnlockedCells="1"/>
  <pageMargins left="0.7" right="0.7" top="0.75" bottom="0.75" header="0.3" footer="0.3"/>
  <pageSetup paperSize="9"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N29"/>
  <sheetViews>
    <sheetView zoomScaleNormal="100" workbookViewId="0">
      <selection activeCell="B20" sqref="B20"/>
    </sheetView>
  </sheetViews>
  <sheetFormatPr defaultRowHeight="15" x14ac:dyDescent="0.25"/>
  <cols>
    <col min="1" max="1" width="2.85546875" customWidth="1"/>
    <col min="2" max="2" width="30.85546875" customWidth="1"/>
    <col min="3" max="3" width="21.85546875" customWidth="1"/>
    <col min="4" max="4" width="22.42578125" customWidth="1"/>
    <col min="5" max="5" width="10.5703125" bestFit="1" customWidth="1"/>
    <col min="6" max="6" width="11.42578125" bestFit="1" customWidth="1"/>
    <col min="7" max="7" width="13.28515625" customWidth="1"/>
    <col min="8" max="8" width="13.140625" customWidth="1"/>
  </cols>
  <sheetData>
    <row r="1" spans="2:14" ht="91.9" customHeight="1" x14ac:dyDescent="0.3">
      <c r="B1" s="7" t="s">
        <v>324</v>
      </c>
      <c r="F1" s="9"/>
      <c r="H1" s="17"/>
      <c r="I1" s="17"/>
      <c r="J1" s="17"/>
      <c r="K1" s="17"/>
      <c r="L1" s="17"/>
      <c r="M1" s="17"/>
      <c r="N1" s="17"/>
    </row>
    <row r="3" spans="2:14" ht="15.75" x14ac:dyDescent="0.25">
      <c r="B3" s="162" t="s">
        <v>325</v>
      </c>
      <c r="C3" s="163" t="s">
        <v>326</v>
      </c>
      <c r="D3" s="163" t="s">
        <v>327</v>
      </c>
    </row>
    <row r="4" spans="2:14" ht="14.45" x14ac:dyDescent="0.3">
      <c r="B4" s="164" t="s">
        <v>328</v>
      </c>
      <c r="C4" s="165">
        <f>VRAGENLIJST!$F$4+VRAGENLIJST!$F$8</f>
        <v>0</v>
      </c>
      <c r="D4" s="165">
        <f>IF(VRAGENLIJST!$F$6="stopt",0,VRAGENLIJST!$F$4)+IF(VRAGENLIJST!$F$10="stopt",0,VRAGENLIJST!$F$8)</f>
        <v>0</v>
      </c>
    </row>
    <row r="5" spans="2:14" ht="14.45" x14ac:dyDescent="0.3">
      <c r="B5" s="135" t="s">
        <v>329</v>
      </c>
      <c r="C5" s="166">
        <f>VRAGENLIJST!$F$20</f>
        <v>0</v>
      </c>
      <c r="D5" s="166">
        <f>VRAGENLIJST!$F$22</f>
        <v>0</v>
      </c>
    </row>
    <row r="6" spans="2:14" ht="14.45" x14ac:dyDescent="0.3">
      <c r="B6" s="135" t="s">
        <v>330</v>
      </c>
      <c r="C6" s="166">
        <f>VRAGENLIJST!$F$16</f>
        <v>0</v>
      </c>
      <c r="D6" s="166">
        <f>VRAGENLIJST!$F$16</f>
        <v>0</v>
      </c>
    </row>
    <row r="7" spans="2:14" thickBot="1" x14ac:dyDescent="0.35">
      <c r="B7" s="135" t="s">
        <v>331</v>
      </c>
      <c r="C7" s="166">
        <f>VRAGENLIJST!$F$12</f>
        <v>0</v>
      </c>
      <c r="D7" s="166">
        <f>VRAGENLIJST!$F$12</f>
        <v>0</v>
      </c>
    </row>
    <row r="8" spans="2:14" ht="16.5" thickTop="1" thickBot="1" x14ac:dyDescent="0.3">
      <c r="B8" s="25" t="s">
        <v>332</v>
      </c>
      <c r="C8" s="167">
        <f>SUM(C4:C7)</f>
        <v>0</v>
      </c>
      <c r="D8" s="168">
        <f>SUM(D4:D7)</f>
        <v>0</v>
      </c>
    </row>
    <row r="9" spans="2:14" thickTop="1" x14ac:dyDescent="0.3"/>
    <row r="11" spans="2:14" ht="15.75" x14ac:dyDescent="0.25">
      <c r="B11" s="162" t="s">
        <v>333</v>
      </c>
      <c r="C11" s="163"/>
    </row>
    <row r="12" spans="2:14" ht="14.45" x14ac:dyDescent="0.3">
      <c r="B12" s="164" t="s">
        <v>334</v>
      </c>
      <c r="C12" s="165">
        <f>VRAGENLIJST!$F$32+VRAGENLIJST!$F$34</f>
        <v>0</v>
      </c>
    </row>
    <row r="13" spans="2:14" ht="14.45" x14ac:dyDescent="0.3">
      <c r="B13" s="135" t="s">
        <v>335</v>
      </c>
      <c r="C13" s="166">
        <f>VRAGENLIJST!$F$50</f>
        <v>0</v>
      </c>
    </row>
    <row r="14" spans="2:14" thickBot="1" x14ac:dyDescent="0.35">
      <c r="B14" s="135" t="s">
        <v>336</v>
      </c>
      <c r="C14" s="166">
        <f>VRAGENLIJST!$F$36+VRAGENLIJST!$F$38+VRAGENLIJST!$F$40+VRAGENLIJST!$F$42+VRAGENLIJST!$F$44+VRAGENLIJST!$F$46+VRAGENLIJST!$F$48+VRAGENLIJST!$F$52</f>
        <v>0</v>
      </c>
    </row>
    <row r="15" spans="2:14" ht="16.5" thickTop="1" thickBot="1" x14ac:dyDescent="0.3">
      <c r="B15" s="25" t="s">
        <v>356</v>
      </c>
      <c r="C15" s="167">
        <f>SUM(C12:C14)</f>
        <v>0</v>
      </c>
    </row>
    <row r="16" spans="2:14" thickTop="1" x14ac:dyDescent="0.3"/>
    <row r="18" spans="2:8" ht="15.6" x14ac:dyDescent="0.3">
      <c r="B18" s="169" t="s">
        <v>337</v>
      </c>
      <c r="C18" s="170"/>
      <c r="D18" s="170"/>
      <c r="E18" s="170"/>
      <c r="F18" s="170"/>
      <c r="G18" s="170"/>
      <c r="H18" s="170"/>
    </row>
    <row r="19" spans="2:8" ht="30" x14ac:dyDescent="0.25">
      <c r="B19" s="171" t="s">
        <v>338</v>
      </c>
      <c r="C19" s="171" t="s">
        <v>339</v>
      </c>
      <c r="D19" s="171" t="s">
        <v>340</v>
      </c>
      <c r="E19" s="171" t="s">
        <v>341</v>
      </c>
      <c r="F19" s="171" t="s">
        <v>342</v>
      </c>
      <c r="G19" s="172" t="s">
        <v>231</v>
      </c>
      <c r="H19" s="172" t="s">
        <v>343</v>
      </c>
    </row>
    <row r="20" spans="2:8" s="124" customFormat="1" x14ac:dyDescent="0.25">
      <c r="B20" s="174"/>
      <c r="C20" s="175"/>
      <c r="D20" s="176"/>
      <c r="E20" s="177"/>
      <c r="F20" s="178"/>
      <c r="G20" s="175"/>
      <c r="H20" s="175"/>
    </row>
    <row r="21" spans="2:8" s="124" customFormat="1" x14ac:dyDescent="0.25">
      <c r="B21" s="174"/>
      <c r="C21" s="175"/>
      <c r="D21" s="176"/>
      <c r="E21" s="177"/>
      <c r="F21" s="178"/>
      <c r="G21" s="175"/>
      <c r="H21" s="175"/>
    </row>
    <row r="22" spans="2:8" s="124" customFormat="1" x14ac:dyDescent="0.25">
      <c r="B22" s="174"/>
      <c r="C22" s="175"/>
      <c r="D22" s="176"/>
      <c r="E22" s="177"/>
      <c r="F22" s="178"/>
      <c r="G22" s="175"/>
      <c r="H22" s="175"/>
    </row>
    <row r="23" spans="2:8" s="124" customFormat="1" x14ac:dyDescent="0.25">
      <c r="F23" s="173"/>
    </row>
    <row r="24" spans="2:8" s="124" customFormat="1" x14ac:dyDescent="0.25">
      <c r="F24" s="173"/>
    </row>
    <row r="25" spans="2:8" ht="15.75" x14ac:dyDescent="0.25">
      <c r="B25" s="169" t="s">
        <v>344</v>
      </c>
      <c r="C25" s="170"/>
      <c r="D25" s="170"/>
      <c r="E25" s="170"/>
      <c r="F25" s="170"/>
      <c r="G25" s="170"/>
      <c r="H25" s="170"/>
    </row>
    <row r="26" spans="2:8" ht="30" x14ac:dyDescent="0.25">
      <c r="B26" s="171" t="s">
        <v>338</v>
      </c>
      <c r="C26" s="171" t="s">
        <v>339</v>
      </c>
      <c r="D26" s="171" t="s">
        <v>340</v>
      </c>
      <c r="E26" s="171" t="s">
        <v>341</v>
      </c>
      <c r="F26" s="171" t="s">
        <v>342</v>
      </c>
      <c r="G26" s="172" t="s">
        <v>231</v>
      </c>
      <c r="H26" s="172" t="s">
        <v>343</v>
      </c>
    </row>
    <row r="27" spans="2:8" x14ac:dyDescent="0.25">
      <c r="B27" s="174"/>
      <c r="C27" s="175"/>
      <c r="D27" s="174"/>
      <c r="E27" s="177"/>
      <c r="F27" s="178"/>
      <c r="G27" s="175"/>
      <c r="H27" s="175"/>
    </row>
    <row r="28" spans="2:8" x14ac:dyDescent="0.25">
      <c r="B28" s="174"/>
      <c r="C28" s="175"/>
      <c r="D28" s="174"/>
      <c r="E28" s="177"/>
      <c r="F28" s="178"/>
      <c r="G28" s="175"/>
      <c r="H28" s="175"/>
    </row>
    <row r="29" spans="2:8" x14ac:dyDescent="0.25">
      <c r="B29" s="174"/>
      <c r="C29" s="175"/>
      <c r="D29" s="174"/>
      <c r="E29" s="177"/>
      <c r="F29" s="178"/>
      <c r="G29" s="175"/>
      <c r="H29" s="175"/>
    </row>
  </sheetData>
  <sheetProtection password="DEA6" sheet="1" objects="1" scenarios="1" selectLockedCells="1"/>
  <pageMargins left="0.7" right="0.7" top="0.75" bottom="0.75" header="0.3" footer="0.3"/>
  <pageSetup paperSize="9" scale="8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O45"/>
  <sheetViews>
    <sheetView zoomScaleNormal="100" zoomScaleSheetLayoutView="70" workbookViewId="0">
      <selection activeCell="C6" sqref="C6"/>
    </sheetView>
  </sheetViews>
  <sheetFormatPr defaultRowHeight="15" x14ac:dyDescent="0.25"/>
  <cols>
    <col min="1" max="1" width="2.140625" customWidth="1"/>
    <col min="2" max="2" width="25.7109375" customWidth="1"/>
    <col min="3" max="15" width="11.7109375" customWidth="1"/>
    <col min="16" max="16" width="3.42578125" customWidth="1"/>
  </cols>
  <sheetData>
    <row r="1" spans="2:15" ht="91.9" customHeight="1" x14ac:dyDescent="0.3">
      <c r="B1" s="7" t="s">
        <v>224</v>
      </c>
      <c r="F1" s="9"/>
      <c r="H1" s="17"/>
      <c r="I1" s="17"/>
      <c r="J1" s="17"/>
      <c r="K1" s="17"/>
      <c r="L1" s="17"/>
      <c r="M1" s="17"/>
      <c r="N1" s="17"/>
    </row>
    <row r="2" spans="2:15" thickBot="1" x14ac:dyDescent="0.35">
      <c r="B2" s="50" t="s">
        <v>225</v>
      </c>
    </row>
    <row r="3" spans="2:15" thickTop="1" x14ac:dyDescent="0.3">
      <c r="B3" s="69" t="s">
        <v>226</v>
      </c>
      <c r="C3" s="75">
        <f>'Investering &amp; Financiering'!C27</f>
        <v>4</v>
      </c>
      <c r="G3" s="181" t="s">
        <v>176</v>
      </c>
      <c r="H3" s="182"/>
      <c r="I3" s="182"/>
      <c r="J3" s="84">
        <f>IF(C4=0,0,J4/C4)</f>
        <v>590.73124999999982</v>
      </c>
    </row>
    <row r="4" spans="2:15" ht="14.45" x14ac:dyDescent="0.3">
      <c r="B4" s="70" t="s">
        <v>227</v>
      </c>
      <c r="C4" s="76">
        <f>C3*12</f>
        <v>48</v>
      </c>
      <c r="G4" s="183" t="s">
        <v>233</v>
      </c>
      <c r="H4" s="184"/>
      <c r="I4" s="184"/>
      <c r="J4" s="83">
        <f>O20+O28+O36+O44</f>
        <v>28355.099999999991</v>
      </c>
    </row>
    <row r="5" spans="2:15" ht="14.45" x14ac:dyDescent="0.3">
      <c r="B5" s="70" t="s">
        <v>228</v>
      </c>
      <c r="C5" s="78">
        <f>'Investering &amp; Financiering'!H22</f>
        <v>25000</v>
      </c>
      <c r="G5" s="183" t="s">
        <v>234</v>
      </c>
      <c r="H5" s="184"/>
      <c r="I5" s="184"/>
      <c r="J5" s="83">
        <f>O19+O27+O35+O43</f>
        <v>25000.05</v>
      </c>
    </row>
    <row r="6" spans="2:15" ht="14.45" x14ac:dyDescent="0.3">
      <c r="B6" s="70" t="s">
        <v>229</v>
      </c>
      <c r="C6" s="78">
        <f>IF(C5*0.04&lt;100,100,IF(C5*0.04&gt;750,750,C5*0.04))</f>
        <v>750</v>
      </c>
      <c r="G6" s="183" t="s">
        <v>235</v>
      </c>
      <c r="H6" s="184"/>
      <c r="I6" s="184"/>
      <c r="J6" s="83">
        <f>O18+O26+O34+O42</f>
        <v>3355.0499999999997</v>
      </c>
    </row>
    <row r="7" spans="2:15" thickBot="1" x14ac:dyDescent="0.35">
      <c r="B7" s="70" t="s">
        <v>230</v>
      </c>
      <c r="C7" s="79">
        <v>0.06</v>
      </c>
      <c r="G7" s="185" t="s">
        <v>236</v>
      </c>
      <c r="H7" s="186"/>
      <c r="I7" s="186"/>
      <c r="J7" s="85">
        <f>C6</f>
        <v>750</v>
      </c>
    </row>
    <row r="8" spans="2:15" hidden="1" thickTop="1" x14ac:dyDescent="0.3">
      <c r="B8" s="70" t="s">
        <v>244</v>
      </c>
      <c r="C8" s="81">
        <f>C7/12</f>
        <v>5.0000000000000001E-3</v>
      </c>
      <c r="G8" s="80"/>
      <c r="H8" s="80"/>
      <c r="I8" s="80"/>
      <c r="J8" s="82"/>
    </row>
    <row r="9" spans="2:15" thickTop="1" x14ac:dyDescent="0.3">
      <c r="B9" s="70" t="s">
        <v>231</v>
      </c>
      <c r="C9" s="129">
        <f>ROUND(-PMT($C$7*$C$10/12,($C$4-$C$11)/$C$10,$C$5,,0),2)</f>
        <v>621.78</v>
      </c>
    </row>
    <row r="10" spans="2:15" ht="14.45" hidden="1" x14ac:dyDescent="0.3">
      <c r="B10" s="110" t="s">
        <v>269</v>
      </c>
      <c r="C10" s="128">
        <v>1</v>
      </c>
    </row>
    <row r="11" spans="2:15" ht="14.45" hidden="1" x14ac:dyDescent="0.3">
      <c r="B11" s="110" t="s">
        <v>268</v>
      </c>
      <c r="C11" s="128">
        <f>C12-1</f>
        <v>3</v>
      </c>
    </row>
    <row r="12" spans="2:15" thickBot="1" x14ac:dyDescent="0.35">
      <c r="B12" s="71" t="s">
        <v>232</v>
      </c>
      <c r="C12" s="77">
        <f>'Investering &amp; Financiering'!C29</f>
        <v>4</v>
      </c>
    </row>
    <row r="13" spans="2:15" thickTop="1" x14ac:dyDescent="0.3"/>
    <row r="14" spans="2:15" ht="14.45" x14ac:dyDescent="0.3">
      <c r="B14" s="18" t="s">
        <v>237</v>
      </c>
      <c r="C14" s="21">
        <v>1</v>
      </c>
      <c r="D14" s="21">
        <v>2</v>
      </c>
      <c r="E14" s="21">
        <v>3</v>
      </c>
      <c r="F14" s="21">
        <v>4</v>
      </c>
      <c r="G14" s="21">
        <v>5</v>
      </c>
      <c r="H14" s="21">
        <v>6</v>
      </c>
      <c r="I14" s="21">
        <v>7</v>
      </c>
      <c r="J14" s="21">
        <v>8</v>
      </c>
      <c r="K14" s="21">
        <v>9</v>
      </c>
      <c r="L14" s="21">
        <v>10</v>
      </c>
      <c r="M14" s="21">
        <v>11</v>
      </c>
      <c r="N14" s="21">
        <v>12</v>
      </c>
      <c r="O14" s="21" t="s">
        <v>151</v>
      </c>
    </row>
    <row r="15" spans="2:15" ht="14.45" x14ac:dyDescent="0.3">
      <c r="B15" s="73"/>
      <c r="C15" s="74"/>
      <c r="D15" s="74"/>
      <c r="E15" s="74"/>
      <c r="F15" s="74"/>
      <c r="G15" s="74"/>
      <c r="H15" s="74"/>
      <c r="I15" s="74"/>
      <c r="J15" s="74"/>
      <c r="K15" s="74"/>
      <c r="L15" s="74"/>
      <c r="M15" s="74"/>
      <c r="N15" s="74"/>
      <c r="O15" s="72"/>
    </row>
    <row r="16" spans="2:15" ht="14.45" x14ac:dyDescent="0.3">
      <c r="B16" s="19" t="s">
        <v>238</v>
      </c>
      <c r="C16" s="86">
        <f>C5</f>
        <v>25000</v>
      </c>
      <c r="D16" s="51">
        <f>IF($C$4/$C$10&lt;D14,"",C16-C19)</f>
        <v>25000</v>
      </c>
      <c r="E16" s="51">
        <f t="shared" ref="E16:N16" si="0">IF($C$4/$C$10&lt;E14,"",D16-D19)</f>
        <v>25000</v>
      </c>
      <c r="F16" s="51">
        <f t="shared" si="0"/>
        <v>25000</v>
      </c>
      <c r="G16" s="51">
        <f t="shared" si="0"/>
        <v>24503.22</v>
      </c>
      <c r="H16" s="51">
        <f t="shared" si="0"/>
        <v>24003.960000000003</v>
      </c>
      <c r="I16" s="51">
        <f t="shared" si="0"/>
        <v>23502.200000000004</v>
      </c>
      <c r="J16" s="51">
        <f t="shared" si="0"/>
        <v>22997.930000000004</v>
      </c>
      <c r="K16" s="51">
        <f t="shared" si="0"/>
        <v>22491.140000000003</v>
      </c>
      <c r="L16" s="51">
        <f t="shared" si="0"/>
        <v>21981.820000000003</v>
      </c>
      <c r="M16" s="51">
        <f t="shared" si="0"/>
        <v>21469.950000000004</v>
      </c>
      <c r="N16" s="51">
        <f t="shared" si="0"/>
        <v>20955.520000000004</v>
      </c>
      <c r="O16" s="29"/>
    </row>
    <row r="17" spans="2:15" ht="14.45" x14ac:dyDescent="0.3">
      <c r="B17" s="73"/>
      <c r="C17" s="74"/>
      <c r="D17" s="74"/>
      <c r="E17" s="74"/>
      <c r="F17" s="74"/>
      <c r="G17" s="74"/>
      <c r="H17" s="74"/>
      <c r="I17" s="74"/>
      <c r="J17" s="74"/>
      <c r="K17" s="74"/>
      <c r="L17" s="74"/>
      <c r="M17" s="74"/>
      <c r="N17" s="74"/>
      <c r="O17" s="72"/>
    </row>
    <row r="18" spans="2:15" ht="14.45" x14ac:dyDescent="0.3">
      <c r="B18" s="19" t="s">
        <v>239</v>
      </c>
      <c r="C18" s="51">
        <f>IF(C$14-$C$11&lt;=0,ROUND(-IPMT($C$7*$C$10/12,1,$C$4/$C$10,$C$5),2),IF(C$14&gt;$C$4/$C$10,"",ROUND(-IPMT($C$7*$C$10/12,C$14-$C$11,$C$4/$C$10-$C$11,$C$5,,0),2)))</f>
        <v>125</v>
      </c>
      <c r="D18" s="51">
        <f t="shared" ref="D18:N18" si="1">IF(D$14-$C$11&lt;=0,ROUND(-IPMT($C$7*$C$10/12,1,$C$4/$C$10,$C$5),2),IF(D$14&gt;$C$4/$C$10,"",ROUND(-IPMT($C$7*$C$10/12,D$14-$C$11,$C$4/$C$10-$C$11,$C$5,,0),2)))</f>
        <v>125</v>
      </c>
      <c r="E18" s="51">
        <f t="shared" si="1"/>
        <v>125</v>
      </c>
      <c r="F18" s="51">
        <f t="shared" si="1"/>
        <v>125</v>
      </c>
      <c r="G18" s="51">
        <f t="shared" si="1"/>
        <v>122.52</v>
      </c>
      <c r="H18" s="51">
        <f t="shared" si="1"/>
        <v>120.02</v>
      </c>
      <c r="I18" s="51">
        <f t="shared" si="1"/>
        <v>117.51</v>
      </c>
      <c r="J18" s="51">
        <f t="shared" si="1"/>
        <v>114.99</v>
      </c>
      <c r="K18" s="51">
        <f t="shared" si="1"/>
        <v>112.46</v>
      </c>
      <c r="L18" s="51">
        <f t="shared" si="1"/>
        <v>109.91</v>
      </c>
      <c r="M18" s="51">
        <f t="shared" si="1"/>
        <v>107.35</v>
      </c>
      <c r="N18" s="51">
        <f t="shared" si="1"/>
        <v>104.78</v>
      </c>
      <c r="O18" s="66">
        <f>SUM(C18:N18)</f>
        <v>1409.54</v>
      </c>
    </row>
    <row r="19" spans="2:15" thickBot="1" x14ac:dyDescent="0.35">
      <c r="B19" s="19" t="s">
        <v>231</v>
      </c>
      <c r="C19" s="51">
        <f>IF(C14-$C$11&lt;=0,0,IF($C$4/$C$10&lt;C14,"",C20-C18))</f>
        <v>0</v>
      </c>
      <c r="D19" s="51">
        <f t="shared" ref="D19:N19" si="2">IF(D14-$C$11&lt;=0,0,IF($C$4/$C$10&lt;D14,"",D20-D18))</f>
        <v>0</v>
      </c>
      <c r="E19" s="51">
        <f t="shared" si="2"/>
        <v>0</v>
      </c>
      <c r="F19" s="51">
        <f t="shared" si="2"/>
        <v>496.78</v>
      </c>
      <c r="G19" s="51">
        <f t="shared" si="2"/>
        <v>499.26</v>
      </c>
      <c r="H19" s="51">
        <f t="shared" si="2"/>
        <v>501.76</v>
      </c>
      <c r="I19" s="51">
        <f t="shared" si="2"/>
        <v>504.27</v>
      </c>
      <c r="J19" s="51">
        <f t="shared" si="2"/>
        <v>506.78999999999996</v>
      </c>
      <c r="K19" s="51">
        <f t="shared" si="2"/>
        <v>509.32</v>
      </c>
      <c r="L19" s="51">
        <f t="shared" si="2"/>
        <v>511.87</v>
      </c>
      <c r="M19" s="51">
        <f t="shared" si="2"/>
        <v>514.42999999999995</v>
      </c>
      <c r="N19" s="51">
        <f t="shared" si="2"/>
        <v>517</v>
      </c>
      <c r="O19" s="66">
        <f t="shared" ref="O19" si="3">SUM(C19:N19)</f>
        <v>4561.4799999999996</v>
      </c>
    </row>
    <row r="20" spans="2:15" ht="15.6" thickTop="1" thickBot="1" x14ac:dyDescent="0.35">
      <c r="B20" s="25" t="s">
        <v>240</v>
      </c>
      <c r="C20" s="87">
        <f>IF($C$4/$C$10&lt;C14,"",IF(C14&gt;$C$11,$C$9,C18))</f>
        <v>125</v>
      </c>
      <c r="D20" s="87">
        <f t="shared" ref="D20:N20" si="4">IF($C$4/$C$10&lt;D14,"",IF(D14&gt;$C$11,$C$9,D18))</f>
        <v>125</v>
      </c>
      <c r="E20" s="87">
        <f t="shared" si="4"/>
        <v>125</v>
      </c>
      <c r="F20" s="87">
        <f t="shared" si="4"/>
        <v>621.78</v>
      </c>
      <c r="G20" s="87">
        <f t="shared" si="4"/>
        <v>621.78</v>
      </c>
      <c r="H20" s="87">
        <f t="shared" si="4"/>
        <v>621.78</v>
      </c>
      <c r="I20" s="87">
        <f t="shared" si="4"/>
        <v>621.78</v>
      </c>
      <c r="J20" s="87">
        <f t="shared" si="4"/>
        <v>621.78</v>
      </c>
      <c r="K20" s="87">
        <f t="shared" si="4"/>
        <v>621.78</v>
      </c>
      <c r="L20" s="87">
        <f t="shared" si="4"/>
        <v>621.78</v>
      </c>
      <c r="M20" s="87">
        <f t="shared" si="4"/>
        <v>621.78</v>
      </c>
      <c r="N20" s="87">
        <f t="shared" si="4"/>
        <v>621.78</v>
      </c>
      <c r="O20" s="52">
        <f>SUM(C20:N20)</f>
        <v>5971.0199999999986</v>
      </c>
    </row>
    <row r="21" spans="2:15" thickTop="1" x14ac:dyDescent="0.3"/>
    <row r="22" spans="2:15" ht="14.45" x14ac:dyDescent="0.3">
      <c r="B22" s="18" t="s">
        <v>241</v>
      </c>
      <c r="C22" s="21">
        <v>13</v>
      </c>
      <c r="D22" s="21">
        <v>14</v>
      </c>
      <c r="E22" s="21">
        <v>15</v>
      </c>
      <c r="F22" s="21">
        <v>16</v>
      </c>
      <c r="G22" s="21">
        <v>17</v>
      </c>
      <c r="H22" s="21">
        <v>18</v>
      </c>
      <c r="I22" s="21">
        <v>19</v>
      </c>
      <c r="J22" s="21">
        <v>20</v>
      </c>
      <c r="K22" s="21">
        <v>21</v>
      </c>
      <c r="L22" s="21">
        <v>22</v>
      </c>
      <c r="M22" s="21">
        <v>23</v>
      </c>
      <c r="N22" s="21">
        <v>24</v>
      </c>
      <c r="O22" s="21" t="s">
        <v>151</v>
      </c>
    </row>
    <row r="23" spans="2:15" x14ac:dyDescent="0.25">
      <c r="B23" s="73"/>
      <c r="C23" s="74"/>
      <c r="D23" s="74"/>
      <c r="E23" s="74"/>
      <c r="F23" s="74"/>
      <c r="G23" s="74"/>
      <c r="H23" s="74"/>
      <c r="I23" s="74"/>
      <c r="J23" s="74"/>
      <c r="K23" s="74"/>
      <c r="L23" s="74"/>
      <c r="M23" s="74"/>
      <c r="N23" s="74"/>
      <c r="O23" s="72"/>
    </row>
    <row r="24" spans="2:15" x14ac:dyDescent="0.25">
      <c r="B24" s="19" t="s">
        <v>238</v>
      </c>
      <c r="C24" s="51">
        <f>IF($C$4/$C$10&lt;C22,"",N16-N19)</f>
        <v>20438.520000000004</v>
      </c>
      <c r="D24" s="51">
        <f>IF($C$4/$C$10&lt;D22,"",C24-C27)</f>
        <v>19918.930000000004</v>
      </c>
      <c r="E24" s="51">
        <f t="shared" ref="E24:N24" si="5">IF($C$4/$C$10&lt;E22,"",D24-D27)</f>
        <v>19396.740000000005</v>
      </c>
      <c r="F24" s="51">
        <f t="shared" si="5"/>
        <v>18871.940000000006</v>
      </c>
      <c r="G24" s="51">
        <f t="shared" si="5"/>
        <v>18344.520000000008</v>
      </c>
      <c r="H24" s="51">
        <f t="shared" si="5"/>
        <v>17814.460000000006</v>
      </c>
      <c r="I24" s="51">
        <f t="shared" si="5"/>
        <v>17281.750000000007</v>
      </c>
      <c r="J24" s="51">
        <f t="shared" si="5"/>
        <v>16746.380000000008</v>
      </c>
      <c r="K24" s="51">
        <f t="shared" si="5"/>
        <v>16208.330000000009</v>
      </c>
      <c r="L24" s="51">
        <f t="shared" si="5"/>
        <v>15667.590000000009</v>
      </c>
      <c r="M24" s="51">
        <f t="shared" si="5"/>
        <v>15124.150000000009</v>
      </c>
      <c r="N24" s="51">
        <f t="shared" si="5"/>
        <v>14577.990000000009</v>
      </c>
      <c r="O24" s="29"/>
    </row>
    <row r="25" spans="2:15" x14ac:dyDescent="0.25">
      <c r="B25" s="73"/>
      <c r="C25" s="74"/>
      <c r="D25" s="74"/>
      <c r="E25" s="74"/>
      <c r="F25" s="74"/>
      <c r="G25" s="74"/>
      <c r="H25" s="74"/>
      <c r="I25" s="74"/>
      <c r="J25" s="74"/>
      <c r="K25" s="74"/>
      <c r="L25" s="74"/>
      <c r="M25" s="74"/>
      <c r="N25" s="74"/>
      <c r="O25" s="72"/>
    </row>
    <row r="26" spans="2:15" x14ac:dyDescent="0.25">
      <c r="B26" s="19" t="s">
        <v>239</v>
      </c>
      <c r="C26" s="51">
        <f>IF(C$22-$C$11&lt;=0,ROUND(-IPMT($C$7*$C$10/12,1,$C$4/$C$10,$C$5),2),IF(C$22&gt;$C$4/$C$10,"",ROUND(-IPMT($C$7*$C$10/12,C$22-$C$11,$C$4/$C$10-$C$11,$C$5,,0),2)))</f>
        <v>102.19</v>
      </c>
      <c r="D26" s="51">
        <f t="shared" ref="D26:N26" si="6">IF(D$22-$C$11&lt;=0,ROUND(-IPMT($C$7*$C$10/12,1,$C$4/$C$10,$C$5),2),IF(D$22&gt;$C$4/$C$10,"",ROUND(-IPMT($C$7*$C$10/12,D$22-$C$11,$C$4/$C$10-$C$11,$C$5,,0),2)))</f>
        <v>99.59</v>
      </c>
      <c r="E26" s="51">
        <f t="shared" si="6"/>
        <v>96.98</v>
      </c>
      <c r="F26" s="51">
        <f t="shared" si="6"/>
        <v>94.36</v>
      </c>
      <c r="G26" s="51">
        <f t="shared" si="6"/>
        <v>91.72</v>
      </c>
      <c r="H26" s="51">
        <f t="shared" si="6"/>
        <v>89.07</v>
      </c>
      <c r="I26" s="51">
        <f t="shared" si="6"/>
        <v>86.41</v>
      </c>
      <c r="J26" s="51">
        <f t="shared" si="6"/>
        <v>83.73</v>
      </c>
      <c r="K26" s="51">
        <f t="shared" si="6"/>
        <v>81.040000000000006</v>
      </c>
      <c r="L26" s="51">
        <f t="shared" si="6"/>
        <v>78.34</v>
      </c>
      <c r="M26" s="51">
        <f t="shared" si="6"/>
        <v>75.62</v>
      </c>
      <c r="N26" s="51">
        <f t="shared" si="6"/>
        <v>72.89</v>
      </c>
      <c r="O26" s="66">
        <f>SUM(C26:N26)</f>
        <v>1051.94</v>
      </c>
    </row>
    <row r="27" spans="2:15" ht="15.75" thickBot="1" x14ac:dyDescent="0.3">
      <c r="B27" s="19" t="s">
        <v>231</v>
      </c>
      <c r="C27" s="51">
        <f>IF(C22-$C$11&lt;=0,0,IF($C$4/$C$10&lt;C22,"",C28-C26))</f>
        <v>519.58999999999992</v>
      </c>
      <c r="D27" s="51">
        <f t="shared" ref="D27:N27" si="7">IF(D22-$C$11&lt;=0,0,IF($C$4/$C$10&lt;D22,"",D28-D26))</f>
        <v>522.18999999999994</v>
      </c>
      <c r="E27" s="51">
        <f t="shared" si="7"/>
        <v>524.79999999999995</v>
      </c>
      <c r="F27" s="51">
        <f t="shared" si="7"/>
        <v>527.41999999999996</v>
      </c>
      <c r="G27" s="51">
        <f t="shared" si="7"/>
        <v>530.05999999999995</v>
      </c>
      <c r="H27" s="51">
        <f t="shared" si="7"/>
        <v>532.71</v>
      </c>
      <c r="I27" s="51">
        <f t="shared" si="7"/>
        <v>535.37</v>
      </c>
      <c r="J27" s="51">
        <f t="shared" si="7"/>
        <v>538.04999999999995</v>
      </c>
      <c r="K27" s="51">
        <f t="shared" si="7"/>
        <v>540.74</v>
      </c>
      <c r="L27" s="51">
        <f t="shared" si="7"/>
        <v>543.43999999999994</v>
      </c>
      <c r="M27" s="51">
        <f t="shared" si="7"/>
        <v>546.16</v>
      </c>
      <c r="N27" s="51">
        <f t="shared" si="7"/>
        <v>548.89</v>
      </c>
      <c r="O27" s="66">
        <f t="shared" ref="O27" si="8">SUM(C27:N27)</f>
        <v>6409.4199999999992</v>
      </c>
    </row>
    <row r="28" spans="2:15" ht="16.5" thickTop="1" thickBot="1" x14ac:dyDescent="0.3">
      <c r="B28" s="25" t="s">
        <v>240</v>
      </c>
      <c r="C28" s="87">
        <f>IF($C$4/$C$10&lt;C22,"",IF(C22&gt;$C$11,$C$9,C26))</f>
        <v>621.78</v>
      </c>
      <c r="D28" s="87">
        <f t="shared" ref="D28:N28" si="9">IF($C$4/$C$10&lt;D22,"",IF(D22&gt;$C$11,$C$9,D26))</f>
        <v>621.78</v>
      </c>
      <c r="E28" s="87">
        <f t="shared" si="9"/>
        <v>621.78</v>
      </c>
      <c r="F28" s="87">
        <f t="shared" si="9"/>
        <v>621.78</v>
      </c>
      <c r="G28" s="87">
        <f t="shared" si="9"/>
        <v>621.78</v>
      </c>
      <c r="H28" s="87">
        <f t="shared" si="9"/>
        <v>621.78</v>
      </c>
      <c r="I28" s="87">
        <f t="shared" si="9"/>
        <v>621.78</v>
      </c>
      <c r="J28" s="87">
        <f t="shared" si="9"/>
        <v>621.78</v>
      </c>
      <c r="K28" s="87">
        <f t="shared" si="9"/>
        <v>621.78</v>
      </c>
      <c r="L28" s="87">
        <f t="shared" si="9"/>
        <v>621.78</v>
      </c>
      <c r="M28" s="87">
        <f t="shared" si="9"/>
        <v>621.78</v>
      </c>
      <c r="N28" s="87">
        <f t="shared" si="9"/>
        <v>621.78</v>
      </c>
      <c r="O28" s="52">
        <f>SUM(C28:N28)</f>
        <v>7461.3599999999979</v>
      </c>
    </row>
    <row r="29" spans="2:15" ht="15.75" thickTop="1" x14ac:dyDescent="0.25"/>
    <row r="30" spans="2:15" x14ac:dyDescent="0.25">
      <c r="B30" s="18" t="s">
        <v>242</v>
      </c>
      <c r="C30" s="21">
        <v>25</v>
      </c>
      <c r="D30" s="21">
        <v>26</v>
      </c>
      <c r="E30" s="21">
        <v>27</v>
      </c>
      <c r="F30" s="21">
        <v>28</v>
      </c>
      <c r="G30" s="21">
        <v>29</v>
      </c>
      <c r="H30" s="21">
        <v>30</v>
      </c>
      <c r="I30" s="21">
        <v>31</v>
      </c>
      <c r="J30" s="21">
        <v>32</v>
      </c>
      <c r="K30" s="21">
        <v>33</v>
      </c>
      <c r="L30" s="21">
        <v>34</v>
      </c>
      <c r="M30" s="21">
        <v>35</v>
      </c>
      <c r="N30" s="21">
        <v>36</v>
      </c>
      <c r="O30" s="21" t="s">
        <v>151</v>
      </c>
    </row>
    <row r="31" spans="2:15" x14ac:dyDescent="0.25">
      <c r="B31" s="73"/>
      <c r="C31" s="74"/>
      <c r="D31" s="74"/>
      <c r="E31" s="74"/>
      <c r="F31" s="74"/>
      <c r="G31" s="74"/>
      <c r="H31" s="74"/>
      <c r="I31" s="74"/>
      <c r="J31" s="74"/>
      <c r="K31" s="74"/>
      <c r="L31" s="74"/>
      <c r="M31" s="74"/>
      <c r="N31" s="74"/>
      <c r="O31" s="72"/>
    </row>
    <row r="32" spans="2:15" x14ac:dyDescent="0.25">
      <c r="B32" s="19" t="s">
        <v>238</v>
      </c>
      <c r="C32" s="51">
        <f>IF($C$4/$C$10&lt;C30,"",N24-N27)</f>
        <v>14029.100000000009</v>
      </c>
      <c r="D32" s="51">
        <f>IF($C$4/$C$10&lt;D30,"",C32-C35)</f>
        <v>13477.47000000001</v>
      </c>
      <c r="E32" s="51">
        <f t="shared" ref="E32:N32" si="10">IF($C$4/$C$10&lt;E30,"",D32-D35)</f>
        <v>12923.080000000011</v>
      </c>
      <c r="F32" s="51">
        <f t="shared" si="10"/>
        <v>12365.920000000011</v>
      </c>
      <c r="G32" s="51">
        <f t="shared" si="10"/>
        <v>11805.97000000001</v>
      </c>
      <c r="H32" s="51">
        <f t="shared" si="10"/>
        <v>11243.22000000001</v>
      </c>
      <c r="I32" s="51">
        <f t="shared" si="10"/>
        <v>10677.660000000011</v>
      </c>
      <c r="J32" s="51">
        <f t="shared" si="10"/>
        <v>10109.270000000011</v>
      </c>
      <c r="K32" s="51">
        <f t="shared" si="10"/>
        <v>9538.0400000000118</v>
      </c>
      <c r="L32" s="51">
        <f t="shared" si="10"/>
        <v>8963.9500000000116</v>
      </c>
      <c r="M32" s="51">
        <f t="shared" si="10"/>
        <v>8386.9900000000125</v>
      </c>
      <c r="N32" s="51">
        <f t="shared" si="10"/>
        <v>7807.1400000000122</v>
      </c>
      <c r="O32" s="29"/>
    </row>
    <row r="33" spans="2:15" x14ac:dyDescent="0.25">
      <c r="B33" s="73"/>
      <c r="C33" s="74"/>
      <c r="D33" s="74"/>
      <c r="E33" s="74"/>
      <c r="F33" s="74"/>
      <c r="G33" s="74"/>
      <c r="H33" s="74"/>
      <c r="I33" s="74"/>
      <c r="J33" s="74"/>
      <c r="K33" s="74"/>
      <c r="L33" s="74"/>
      <c r="M33" s="74"/>
      <c r="N33" s="74"/>
      <c r="O33" s="72"/>
    </row>
    <row r="34" spans="2:15" x14ac:dyDescent="0.25">
      <c r="B34" s="19" t="s">
        <v>239</v>
      </c>
      <c r="C34" s="51">
        <f>IF(C$30-$C$11&lt;=0,ROUND(-IPMT($C$7*$C$10/12,1,$C$4/$C$10,$C$5),2),IF(C$30&gt;$C$4/$C$10,"",ROUND(-IPMT($C$7*$C$10/12,C$30-$C$11,$C$4/$C$10-$C$11,$C$5,,0),2)))</f>
        <v>70.150000000000006</v>
      </c>
      <c r="D34" s="51">
        <f t="shared" ref="D34:N34" si="11">IF(D$30-$C$11&lt;=0,ROUND(-IPMT($C$7*$C$10/12,1,$C$4/$C$10,$C$5),2),IF(D$30&gt;$C$4/$C$10,"",ROUND(-IPMT($C$7*$C$10/12,D$30-$C$11,$C$4/$C$10-$C$11,$C$5,,0),2)))</f>
        <v>67.39</v>
      </c>
      <c r="E34" s="51">
        <f t="shared" si="11"/>
        <v>64.62</v>
      </c>
      <c r="F34" s="51">
        <f t="shared" si="11"/>
        <v>61.83</v>
      </c>
      <c r="G34" s="51">
        <f t="shared" si="11"/>
        <v>59.03</v>
      </c>
      <c r="H34" s="51">
        <f t="shared" si="11"/>
        <v>56.22</v>
      </c>
      <c r="I34" s="51">
        <f t="shared" si="11"/>
        <v>53.39</v>
      </c>
      <c r="J34" s="51">
        <f t="shared" si="11"/>
        <v>50.55</v>
      </c>
      <c r="K34" s="51">
        <f t="shared" si="11"/>
        <v>47.69</v>
      </c>
      <c r="L34" s="51">
        <f t="shared" si="11"/>
        <v>44.82</v>
      </c>
      <c r="M34" s="51">
        <f t="shared" si="11"/>
        <v>41.93</v>
      </c>
      <c r="N34" s="51">
        <f t="shared" si="11"/>
        <v>39.04</v>
      </c>
      <c r="O34" s="66">
        <f>SUM(C34:N34)</f>
        <v>656.66</v>
      </c>
    </row>
    <row r="35" spans="2:15" ht="15.75" thickBot="1" x14ac:dyDescent="0.3">
      <c r="B35" s="19" t="s">
        <v>231</v>
      </c>
      <c r="C35" s="51">
        <f>IF(C30-$C$11&lt;=0,0,IF($C$4/$C$10&lt;C30,"",C36-C34))</f>
        <v>551.63</v>
      </c>
      <c r="D35" s="51">
        <f t="shared" ref="D35:N35" si="12">IF(D30-$C$11&lt;=0,0,IF($C$4/$C$10&lt;D30,"",D36-D34))</f>
        <v>554.39</v>
      </c>
      <c r="E35" s="51">
        <f t="shared" si="12"/>
        <v>557.16</v>
      </c>
      <c r="F35" s="51">
        <f t="shared" si="12"/>
        <v>559.94999999999993</v>
      </c>
      <c r="G35" s="51">
        <f t="shared" si="12"/>
        <v>562.75</v>
      </c>
      <c r="H35" s="51">
        <f t="shared" si="12"/>
        <v>565.55999999999995</v>
      </c>
      <c r="I35" s="51">
        <f t="shared" si="12"/>
        <v>568.39</v>
      </c>
      <c r="J35" s="51">
        <f t="shared" si="12"/>
        <v>571.23</v>
      </c>
      <c r="K35" s="51">
        <f t="shared" si="12"/>
        <v>574.08999999999992</v>
      </c>
      <c r="L35" s="51">
        <f t="shared" si="12"/>
        <v>576.95999999999992</v>
      </c>
      <c r="M35" s="51">
        <f t="shared" si="12"/>
        <v>579.85</v>
      </c>
      <c r="N35" s="51">
        <f t="shared" si="12"/>
        <v>582.74</v>
      </c>
      <c r="O35" s="66">
        <f t="shared" ref="O35" si="13">SUM(C35:N35)</f>
        <v>6804.7</v>
      </c>
    </row>
    <row r="36" spans="2:15" ht="16.5" thickTop="1" thickBot="1" x14ac:dyDescent="0.3">
      <c r="B36" s="25" t="s">
        <v>240</v>
      </c>
      <c r="C36" s="87">
        <f>IF($C$4/$C$10&lt;C30,"",IF(C30&gt;$C$11,$C$9,C34))</f>
        <v>621.78</v>
      </c>
      <c r="D36" s="87">
        <f t="shared" ref="D36:N36" si="14">IF($C$4/$C$10&lt;D30,"",IF(D30&gt;$C$11,$C$9,D34))</f>
        <v>621.78</v>
      </c>
      <c r="E36" s="87">
        <f t="shared" si="14"/>
        <v>621.78</v>
      </c>
      <c r="F36" s="87">
        <f t="shared" si="14"/>
        <v>621.78</v>
      </c>
      <c r="G36" s="87">
        <f t="shared" si="14"/>
        <v>621.78</v>
      </c>
      <c r="H36" s="87">
        <f t="shared" si="14"/>
        <v>621.78</v>
      </c>
      <c r="I36" s="87">
        <f t="shared" si="14"/>
        <v>621.78</v>
      </c>
      <c r="J36" s="87">
        <f t="shared" si="14"/>
        <v>621.78</v>
      </c>
      <c r="K36" s="87">
        <f t="shared" si="14"/>
        <v>621.78</v>
      </c>
      <c r="L36" s="87">
        <f t="shared" si="14"/>
        <v>621.78</v>
      </c>
      <c r="M36" s="87">
        <f t="shared" si="14"/>
        <v>621.78</v>
      </c>
      <c r="N36" s="87">
        <f t="shared" si="14"/>
        <v>621.78</v>
      </c>
      <c r="O36" s="52">
        <f>SUM(C36:N36)</f>
        <v>7461.3599999999979</v>
      </c>
    </row>
    <row r="37" spans="2:15" ht="15.75" thickTop="1" x14ac:dyDescent="0.25"/>
    <row r="38" spans="2:15" x14ac:dyDescent="0.25">
      <c r="B38" s="18" t="s">
        <v>243</v>
      </c>
      <c r="C38" s="21">
        <v>37</v>
      </c>
      <c r="D38" s="21">
        <v>38</v>
      </c>
      <c r="E38" s="21">
        <v>39</v>
      </c>
      <c r="F38" s="21">
        <v>40</v>
      </c>
      <c r="G38" s="21">
        <v>41</v>
      </c>
      <c r="H38" s="21">
        <v>42</v>
      </c>
      <c r="I38" s="21">
        <v>43</v>
      </c>
      <c r="J38" s="21">
        <v>44</v>
      </c>
      <c r="K38" s="21">
        <v>45</v>
      </c>
      <c r="L38" s="21">
        <v>46</v>
      </c>
      <c r="M38" s="21">
        <v>47</v>
      </c>
      <c r="N38" s="21">
        <v>48</v>
      </c>
      <c r="O38" s="21" t="s">
        <v>151</v>
      </c>
    </row>
    <row r="39" spans="2:15" x14ac:dyDescent="0.25">
      <c r="B39" s="73"/>
      <c r="C39" s="74"/>
      <c r="D39" s="74"/>
      <c r="E39" s="74"/>
      <c r="F39" s="74"/>
      <c r="G39" s="74"/>
      <c r="H39" s="74"/>
      <c r="I39" s="74"/>
      <c r="J39" s="74"/>
      <c r="K39" s="74"/>
      <c r="L39" s="74"/>
      <c r="M39" s="74"/>
      <c r="N39" s="74"/>
      <c r="O39" s="72"/>
    </row>
    <row r="40" spans="2:15" x14ac:dyDescent="0.25">
      <c r="B40" s="19" t="s">
        <v>238</v>
      </c>
      <c r="C40" s="51">
        <f>IF($C$4/$C$10&lt;C38,"",N32-N35)</f>
        <v>7224.4000000000124</v>
      </c>
      <c r="D40" s="51">
        <f>IF($C$4/$C$10&lt;D38,"",C40-C43)</f>
        <v>6638.7400000000125</v>
      </c>
      <c r="E40" s="51">
        <f t="shared" ref="E40:N40" si="15">IF($C$4/$C$10&lt;E38,"",D40-D43)</f>
        <v>6050.1500000000124</v>
      </c>
      <c r="F40" s="51">
        <f t="shared" si="15"/>
        <v>5458.6200000000126</v>
      </c>
      <c r="G40" s="51">
        <f t="shared" si="15"/>
        <v>4864.1300000000128</v>
      </c>
      <c r="H40" s="51">
        <f t="shared" si="15"/>
        <v>4266.6700000000128</v>
      </c>
      <c r="I40" s="51">
        <f t="shared" si="15"/>
        <v>3666.220000000013</v>
      </c>
      <c r="J40" s="51">
        <f t="shared" si="15"/>
        <v>3062.7700000000132</v>
      </c>
      <c r="K40" s="51">
        <f t="shared" si="15"/>
        <v>2456.3000000000129</v>
      </c>
      <c r="L40" s="51">
        <f t="shared" si="15"/>
        <v>1846.8000000000129</v>
      </c>
      <c r="M40" s="51">
        <f t="shared" si="15"/>
        <v>1234.250000000013</v>
      </c>
      <c r="N40" s="51">
        <f t="shared" si="15"/>
        <v>618.64000000001295</v>
      </c>
      <c r="O40" s="29"/>
    </row>
    <row r="41" spans="2:15" x14ac:dyDescent="0.25">
      <c r="B41" s="73"/>
      <c r="C41" s="74"/>
      <c r="D41" s="74"/>
      <c r="E41" s="74"/>
      <c r="F41" s="74"/>
      <c r="G41" s="74"/>
      <c r="H41" s="74"/>
      <c r="I41" s="74"/>
      <c r="J41" s="74"/>
      <c r="K41" s="74"/>
      <c r="L41" s="74"/>
      <c r="M41" s="74"/>
      <c r="N41" s="74"/>
      <c r="O41" s="72"/>
    </row>
    <row r="42" spans="2:15" x14ac:dyDescent="0.25">
      <c r="B42" s="19" t="s">
        <v>239</v>
      </c>
      <c r="C42" s="51">
        <f>IF(C$38-$C$11&lt;=0,ROUND(-IPMT($C$7*$C$10/12,1,$C$4/$C$10,$C$5),2),IF(C$38&gt;$C$4/$C$10,"",ROUND(-IPMT($C$7*$C$10/12,C$38-$C$11,$C$4/$C$10-$C$11,$C$5,,0),2)))</f>
        <v>36.119999999999997</v>
      </c>
      <c r="D42" s="51">
        <f t="shared" ref="D42:N42" si="16">IF(D$38-$C$11&lt;=0,ROUND(-IPMT($C$7*$C$10/12,1,$C$4/$C$10,$C$5),2),IF(D$38&gt;$C$4/$C$10,"",ROUND(-IPMT($C$7*$C$10/12,D$38-$C$11,$C$4/$C$10-$C$11,$C$5,,0),2)))</f>
        <v>33.19</v>
      </c>
      <c r="E42" s="51">
        <f t="shared" si="16"/>
        <v>30.25</v>
      </c>
      <c r="F42" s="51">
        <f t="shared" si="16"/>
        <v>27.29</v>
      </c>
      <c r="G42" s="51">
        <f t="shared" si="16"/>
        <v>24.32</v>
      </c>
      <c r="H42" s="51">
        <f t="shared" si="16"/>
        <v>21.33</v>
      </c>
      <c r="I42" s="51">
        <f t="shared" si="16"/>
        <v>18.329999999999998</v>
      </c>
      <c r="J42" s="51">
        <f t="shared" si="16"/>
        <v>15.31</v>
      </c>
      <c r="K42" s="51">
        <f t="shared" si="16"/>
        <v>12.28</v>
      </c>
      <c r="L42" s="51">
        <f t="shared" si="16"/>
        <v>9.23</v>
      </c>
      <c r="M42" s="51">
        <f t="shared" si="16"/>
        <v>6.17</v>
      </c>
      <c r="N42" s="51">
        <f t="shared" si="16"/>
        <v>3.09</v>
      </c>
      <c r="O42" s="66">
        <f>SUM(C42:N42)</f>
        <v>236.90999999999997</v>
      </c>
    </row>
    <row r="43" spans="2:15" ht="15.75" thickBot="1" x14ac:dyDescent="0.3">
      <c r="B43" s="19" t="s">
        <v>231</v>
      </c>
      <c r="C43" s="51">
        <f>IF(C38-$C$11&lt;=0,0,IF($C$4/$C$10&lt;C38,"",C44-C42))</f>
        <v>585.66</v>
      </c>
      <c r="D43" s="51">
        <f t="shared" ref="D43:N43" si="17">IF(D38-$C$11&lt;=0,0,IF($C$4/$C$10&lt;D38,"",D44-D42))</f>
        <v>588.58999999999992</v>
      </c>
      <c r="E43" s="51">
        <f t="shared" si="17"/>
        <v>591.53</v>
      </c>
      <c r="F43" s="51">
        <f t="shared" si="17"/>
        <v>594.49</v>
      </c>
      <c r="G43" s="51">
        <f t="shared" si="17"/>
        <v>597.45999999999992</v>
      </c>
      <c r="H43" s="51">
        <f t="shared" si="17"/>
        <v>600.44999999999993</v>
      </c>
      <c r="I43" s="51">
        <f t="shared" si="17"/>
        <v>603.44999999999993</v>
      </c>
      <c r="J43" s="51">
        <f t="shared" si="17"/>
        <v>606.47</v>
      </c>
      <c r="K43" s="51">
        <f t="shared" si="17"/>
        <v>609.5</v>
      </c>
      <c r="L43" s="51">
        <f t="shared" si="17"/>
        <v>612.54999999999995</v>
      </c>
      <c r="M43" s="51">
        <f t="shared" si="17"/>
        <v>615.61</v>
      </c>
      <c r="N43" s="51">
        <f t="shared" si="17"/>
        <v>618.68999999999994</v>
      </c>
      <c r="O43" s="66">
        <f t="shared" ref="O43" si="18">SUM(C43:N43)</f>
        <v>7224.45</v>
      </c>
    </row>
    <row r="44" spans="2:15" ht="16.5" thickTop="1" thickBot="1" x14ac:dyDescent="0.3">
      <c r="B44" s="25" t="s">
        <v>240</v>
      </c>
      <c r="C44" s="87">
        <f>IF($C$4/$C$10&lt;C38,"",IF(C38&gt;$C$11,$C$9,C42))</f>
        <v>621.78</v>
      </c>
      <c r="D44" s="87">
        <f t="shared" ref="D44:N44" si="19">IF($C$4/$C$10&lt;D38,"",IF(D38&gt;$C$11,$C$9,D42))</f>
        <v>621.78</v>
      </c>
      <c r="E44" s="87">
        <f t="shared" si="19"/>
        <v>621.78</v>
      </c>
      <c r="F44" s="87">
        <f t="shared" si="19"/>
        <v>621.78</v>
      </c>
      <c r="G44" s="87">
        <f t="shared" si="19"/>
        <v>621.78</v>
      </c>
      <c r="H44" s="87">
        <f t="shared" si="19"/>
        <v>621.78</v>
      </c>
      <c r="I44" s="87">
        <f t="shared" si="19"/>
        <v>621.78</v>
      </c>
      <c r="J44" s="87">
        <f t="shared" si="19"/>
        <v>621.78</v>
      </c>
      <c r="K44" s="87">
        <f t="shared" si="19"/>
        <v>621.78</v>
      </c>
      <c r="L44" s="87">
        <f t="shared" si="19"/>
        <v>621.78</v>
      </c>
      <c r="M44" s="87">
        <f t="shared" si="19"/>
        <v>621.78</v>
      </c>
      <c r="N44" s="87">
        <f t="shared" si="19"/>
        <v>621.78</v>
      </c>
      <c r="O44" s="52">
        <f>SUM(C44:N44)</f>
        <v>7461.3599999999979</v>
      </c>
    </row>
    <row r="45" spans="2:15" ht="15.75" thickTop="1" x14ac:dyDescent="0.25"/>
  </sheetData>
  <sheetProtection password="DEA6" sheet="1" objects="1" scenarios="1" selectLockedCells="1" selectUnlockedCells="1"/>
  <mergeCells count="5">
    <mergeCell ref="G3:I3"/>
    <mergeCell ref="G4:I4"/>
    <mergeCell ref="G5:I5"/>
    <mergeCell ref="G6:I6"/>
    <mergeCell ref="G7:I7"/>
  </mergeCells>
  <pageMargins left="0.7" right="0.7" top="0.75" bottom="0.75" header="0.3" footer="0.3"/>
  <pageSetup paperSize="9" scale="6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K25"/>
  <sheetViews>
    <sheetView workbookViewId="0">
      <selection activeCell="H18" sqref="H18:H25"/>
    </sheetView>
  </sheetViews>
  <sheetFormatPr defaultRowHeight="15" x14ac:dyDescent="0.25"/>
  <cols>
    <col min="1" max="1" width="16.7109375" bestFit="1" customWidth="1"/>
    <col min="2" max="2" width="14" bestFit="1" customWidth="1"/>
    <col min="3" max="3" width="11.28515625" style="49" customWidth="1"/>
    <col min="4" max="4" width="16.5703125" customWidth="1"/>
    <col min="5" max="5" width="14.140625" bestFit="1" customWidth="1"/>
    <col min="6" max="6" width="11.28515625" bestFit="1" customWidth="1"/>
    <col min="8" max="8" width="14.42578125" bestFit="1" customWidth="1"/>
    <col min="9" max="9" width="8.85546875" customWidth="1"/>
    <col min="11" max="11" width="11.140625" customWidth="1"/>
  </cols>
  <sheetData>
    <row r="1" spans="1:11" ht="14.45" x14ac:dyDescent="0.3">
      <c r="A1" s="8" t="s">
        <v>17</v>
      </c>
      <c r="B1" s="8" t="s">
        <v>18</v>
      </c>
      <c r="C1" s="48"/>
      <c r="D1" s="8" t="s">
        <v>72</v>
      </c>
      <c r="E1" s="8" t="s">
        <v>94</v>
      </c>
      <c r="F1" s="8" t="s">
        <v>94</v>
      </c>
      <c r="G1" s="8" t="s">
        <v>115</v>
      </c>
      <c r="H1" s="44" t="s">
        <v>203</v>
      </c>
      <c r="I1" s="46">
        <f>IF(VRAGENLIJST!$F$196="",0,VLOOKUP(VRAGENLIJST!$F$196,'Overzicht lijsten'!$H$3:$I$7,2,FALSE))</f>
        <v>0</v>
      </c>
      <c r="J1" s="8" t="s">
        <v>160</v>
      </c>
      <c r="K1" s="8" t="s">
        <v>161</v>
      </c>
    </row>
    <row r="2" spans="1:11" ht="14.45" x14ac:dyDescent="0.3">
      <c r="A2" t="s">
        <v>15</v>
      </c>
      <c r="B2" t="s">
        <v>19</v>
      </c>
      <c r="C2" s="49">
        <v>13</v>
      </c>
      <c r="D2" t="s">
        <v>73</v>
      </c>
      <c r="E2" t="s">
        <v>81</v>
      </c>
      <c r="F2">
        <v>1</v>
      </c>
      <c r="G2" s="15">
        <v>0</v>
      </c>
      <c r="H2" s="44" t="s">
        <v>119</v>
      </c>
      <c r="I2" s="46">
        <f>IF(VRAGENLIJST!$F$162="",0,VLOOKUP(VRAGENLIJST!$F$162,'Overzicht lijsten'!$H$3:$I$7,2,FALSE))</f>
        <v>0</v>
      </c>
      <c r="J2">
        <v>1</v>
      </c>
      <c r="K2">
        <v>1</v>
      </c>
    </row>
    <row r="3" spans="1:11" ht="14.45" x14ac:dyDescent="0.3">
      <c r="A3" t="s">
        <v>16</v>
      </c>
      <c r="B3" t="s">
        <v>208</v>
      </c>
      <c r="C3" s="49">
        <v>0</v>
      </c>
      <c r="D3" t="s">
        <v>74</v>
      </c>
      <c r="E3" t="s">
        <v>82</v>
      </c>
      <c r="F3">
        <v>2</v>
      </c>
      <c r="G3" s="15">
        <v>0.06</v>
      </c>
      <c r="H3" t="s">
        <v>120</v>
      </c>
      <c r="I3" s="45">
        <v>0</v>
      </c>
      <c r="J3">
        <v>2</v>
      </c>
      <c r="K3">
        <v>2</v>
      </c>
    </row>
    <row r="4" spans="1:11" ht="14.45" x14ac:dyDescent="0.3">
      <c r="B4" t="s">
        <v>20</v>
      </c>
      <c r="C4" s="49">
        <v>1</v>
      </c>
      <c r="E4" t="s">
        <v>83</v>
      </c>
      <c r="F4">
        <v>3</v>
      </c>
      <c r="G4" s="15">
        <v>0.12</v>
      </c>
      <c r="H4" t="s">
        <v>121</v>
      </c>
      <c r="I4" s="45">
        <v>0</v>
      </c>
      <c r="J4">
        <v>3</v>
      </c>
      <c r="K4">
        <v>3</v>
      </c>
    </row>
    <row r="5" spans="1:11" ht="14.45" x14ac:dyDescent="0.3">
      <c r="B5" t="s">
        <v>21</v>
      </c>
      <c r="C5" s="49">
        <v>2</v>
      </c>
      <c r="E5" t="s">
        <v>84</v>
      </c>
      <c r="F5">
        <v>4</v>
      </c>
      <c r="G5" s="15">
        <v>0.21</v>
      </c>
      <c r="H5" t="s">
        <v>122</v>
      </c>
      <c r="I5" s="45">
        <v>0</v>
      </c>
      <c r="J5">
        <v>4</v>
      </c>
      <c r="K5">
        <v>4</v>
      </c>
    </row>
    <row r="6" spans="1:11" ht="14.45" x14ac:dyDescent="0.3">
      <c r="B6" t="s">
        <v>22</v>
      </c>
      <c r="C6" s="49">
        <v>3</v>
      </c>
      <c r="E6" t="s">
        <v>85</v>
      </c>
      <c r="F6">
        <v>5</v>
      </c>
      <c r="H6" t="s">
        <v>123</v>
      </c>
      <c r="I6" s="45">
        <v>1</v>
      </c>
      <c r="J6">
        <v>5</v>
      </c>
      <c r="K6">
        <v>5</v>
      </c>
    </row>
    <row r="7" spans="1:11" ht="14.45" x14ac:dyDescent="0.3">
      <c r="B7" t="s">
        <v>23</v>
      </c>
      <c r="C7" s="49">
        <v>4</v>
      </c>
      <c r="E7" t="s">
        <v>86</v>
      </c>
      <c r="F7">
        <v>6</v>
      </c>
      <c r="H7" t="s">
        <v>124</v>
      </c>
      <c r="I7" s="45">
        <v>2</v>
      </c>
      <c r="K7">
        <v>6</v>
      </c>
    </row>
    <row r="8" spans="1:11" ht="14.45" x14ac:dyDescent="0.3">
      <c r="B8" t="s">
        <v>24</v>
      </c>
      <c r="C8" s="49">
        <v>5</v>
      </c>
      <c r="E8" t="s">
        <v>87</v>
      </c>
      <c r="F8">
        <v>7</v>
      </c>
    </row>
    <row r="9" spans="1:11" ht="14.45" x14ac:dyDescent="0.3">
      <c r="B9" t="s">
        <v>25</v>
      </c>
      <c r="C9" s="49">
        <v>6</v>
      </c>
      <c r="E9" t="s">
        <v>88</v>
      </c>
      <c r="F9">
        <v>8</v>
      </c>
    </row>
    <row r="10" spans="1:11" ht="14.45" x14ac:dyDescent="0.3">
      <c r="E10" t="s">
        <v>89</v>
      </c>
      <c r="F10">
        <v>9</v>
      </c>
    </row>
    <row r="11" spans="1:11" ht="14.45" x14ac:dyDescent="0.3">
      <c r="E11" t="s">
        <v>90</v>
      </c>
      <c r="F11">
        <v>10</v>
      </c>
    </row>
    <row r="12" spans="1:11" ht="14.45" x14ac:dyDescent="0.3">
      <c r="E12" t="s">
        <v>91</v>
      </c>
      <c r="F12">
        <v>11</v>
      </c>
    </row>
    <row r="13" spans="1:11" ht="14.45" x14ac:dyDescent="0.3">
      <c r="E13" t="s">
        <v>92</v>
      </c>
      <c r="F13">
        <v>12</v>
      </c>
    </row>
    <row r="14" spans="1:11" ht="14.45" x14ac:dyDescent="0.3">
      <c r="E14" t="s">
        <v>93</v>
      </c>
      <c r="F14">
        <v>13</v>
      </c>
    </row>
    <row r="17" spans="1:8" ht="14.45" x14ac:dyDescent="0.3">
      <c r="A17" s="8" t="s">
        <v>188</v>
      </c>
      <c r="B17">
        <f>IF(VRAGENLIJST!$F$128="",0,VLOOKUP(VRAGENLIJST!$F$128,'Overzicht lijsten'!$E$1:$F$14,2,FALSE))</f>
        <v>0</v>
      </c>
      <c r="D17" s="8" t="s">
        <v>252</v>
      </c>
      <c r="E17" s="8" t="s">
        <v>255</v>
      </c>
      <c r="H17" s="8" t="s">
        <v>213</v>
      </c>
    </row>
    <row r="18" spans="1:8" ht="14.45" x14ac:dyDescent="0.3">
      <c r="A18" s="8" t="s">
        <v>189</v>
      </c>
      <c r="B18">
        <f>IF(VRAGENLIJST!$F$134="",0,VLOOKUP(VRAGENLIJST!$F$134,'Overzicht lijsten'!$E$1:$F$14,2,FALSE))</f>
        <v>0</v>
      </c>
      <c r="D18">
        <v>0</v>
      </c>
      <c r="E18" s="89">
        <v>0</v>
      </c>
      <c r="H18" s="15">
        <v>0.03</v>
      </c>
    </row>
    <row r="19" spans="1:8" ht="14.45" x14ac:dyDescent="0.3">
      <c r="A19" s="8" t="s">
        <v>204</v>
      </c>
      <c r="B19">
        <f>IF(VRAGENLIJST!$F$114="",0,VLOOKUP(VRAGENLIJST!$F$114,'Overzicht lijsten'!$E$1:$F$14,2,FALSE))</f>
        <v>0</v>
      </c>
      <c r="D19">
        <v>1</v>
      </c>
      <c r="E19" s="89">
        <v>1490</v>
      </c>
      <c r="H19" s="15">
        <v>0.05</v>
      </c>
    </row>
    <row r="20" spans="1:8" ht="14.45" x14ac:dyDescent="0.3">
      <c r="A20" s="8" t="s">
        <v>205</v>
      </c>
      <c r="B20">
        <f>IF(VRAGENLIJST!$F$122="",0,VLOOKUP(VRAGENLIJST!$F$122,'Overzicht lijsten'!$E$1:$F$14,2,FALSE))</f>
        <v>0</v>
      </c>
      <c r="D20">
        <v>2</v>
      </c>
      <c r="E20" s="89">
        <v>3820</v>
      </c>
      <c r="H20" s="15">
        <v>0.1</v>
      </c>
    </row>
    <row r="21" spans="1:8" x14ac:dyDescent="0.25">
      <c r="A21" s="8" t="s">
        <v>206</v>
      </c>
      <c r="B21">
        <f>IF(VRAGENLIJST!$F$6="",0,VLOOKUP(VRAGENLIJST!$F$6,'Overzicht lijsten'!$B$1:$C$9,2,FALSE))</f>
        <v>0</v>
      </c>
      <c r="D21">
        <v>3</v>
      </c>
      <c r="E21" s="89">
        <v>8570</v>
      </c>
      <c r="H21" s="15">
        <v>0.2</v>
      </c>
    </row>
    <row r="22" spans="1:8" ht="14.45" x14ac:dyDescent="0.3">
      <c r="D22">
        <v>4</v>
      </c>
      <c r="E22" s="89">
        <v>13860</v>
      </c>
      <c r="H22" s="15">
        <v>0.25</v>
      </c>
    </row>
    <row r="23" spans="1:8" ht="14.45" x14ac:dyDescent="0.3">
      <c r="D23">
        <v>5</v>
      </c>
      <c r="E23" s="89">
        <f>13860+5298</f>
        <v>19158</v>
      </c>
      <c r="H23" s="15">
        <v>0.33</v>
      </c>
    </row>
    <row r="24" spans="1:8" ht="14.45" x14ac:dyDescent="0.3">
      <c r="H24" s="15">
        <v>0.5</v>
      </c>
    </row>
    <row r="25" spans="1:8" x14ac:dyDescent="0.25">
      <c r="H25" s="15">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16</vt:i4>
      </vt:variant>
    </vt:vector>
  </HeadingPairs>
  <TitlesOfParts>
    <vt:vector size="26" baseType="lpstr">
      <vt:lpstr>Intro</vt:lpstr>
      <vt:lpstr>VRAGENLIJST</vt:lpstr>
      <vt:lpstr>Investering &amp; Financiering</vt:lpstr>
      <vt:lpstr>Afschrijvingen</vt:lpstr>
      <vt:lpstr>Liquiditeit</vt:lpstr>
      <vt:lpstr>Exploitatie</vt:lpstr>
      <vt:lpstr>Gezinsbudget</vt:lpstr>
      <vt:lpstr>Maandlasten IPK</vt:lpstr>
      <vt:lpstr>Overzicht lijsten</vt:lpstr>
      <vt:lpstr>IB</vt:lpstr>
      <vt:lpstr>Exploitatie!Afdrukbereik</vt:lpstr>
      <vt:lpstr>Intro!Afdrukbereik</vt:lpstr>
      <vt:lpstr>'Investering &amp; Financiering'!Afdrukbereik</vt:lpstr>
      <vt:lpstr>Liquiditeit!Afdrukbereik</vt:lpstr>
      <vt:lpstr>'Maandlasten IPK'!Afdrukbereik</vt:lpstr>
      <vt:lpstr>VRAGENLIJST!Afdrukbereik</vt:lpstr>
      <vt:lpstr>VRAGENLIJST!Afdruktitels</vt:lpstr>
      <vt:lpstr>Afschrijvingen</vt:lpstr>
      <vt:lpstr>Betalen</vt:lpstr>
      <vt:lpstr>BTW</vt:lpstr>
      <vt:lpstr>Graceperiod</vt:lpstr>
      <vt:lpstr>Inbreng</vt:lpstr>
      <vt:lpstr>Ja_Nee</vt:lpstr>
      <vt:lpstr>Looptijd</vt:lpstr>
      <vt:lpstr>Maanden6</vt:lpstr>
      <vt:lpstr>Uitkering</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Sofie Caymax</dc:creator>
  <cp:lastModifiedBy>Lien De Vos IPK</cp:lastModifiedBy>
  <cp:lastPrinted>2016-03-03T12:45:03Z</cp:lastPrinted>
  <dcterms:created xsi:type="dcterms:W3CDTF">2014-07-23T09:21:18Z</dcterms:created>
  <dcterms:modified xsi:type="dcterms:W3CDTF">2016-12-22T14:10:20Z</dcterms:modified>
</cp:coreProperties>
</file>